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ohn Brinton\Documents\"/>
    </mc:Choice>
  </mc:AlternateContent>
  <xr:revisionPtr revIDLastSave="0" documentId="8_{BAD60B88-90F3-45B3-BCE5-E3F9B2A45939}" xr6:coauthVersionLast="47" xr6:coauthVersionMax="47" xr10:uidLastSave="{00000000-0000-0000-0000-000000000000}"/>
  <bookViews>
    <workbookView xWindow="-108" yWindow="-108" windowWidth="23256" windowHeight="12576" tabRatio="829" xr2:uid="{00000000-000D-0000-FFFF-FFFF00000000}"/>
  </bookViews>
  <sheets>
    <sheet name="WTG Serving Size" sheetId="1" r:id="rId1"/>
    <sheet name="Label Serving Size" sheetId="7" r:id="rId2"/>
  </sheets>
  <definedNames>
    <definedName name="_xlnm.Print_Titles" localSheetId="0">'WTG Serving Size'!$1:$2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Q25" i="1" l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5" i="1"/>
  <c r="B23" i="1"/>
  <c r="Q26" i="7"/>
  <c r="Q26" i="1" s="1"/>
  <c r="P26" i="7"/>
  <c r="P26" i="1"/>
  <c r="O26" i="7"/>
  <c r="O26" i="1" s="1"/>
  <c r="N26" i="7"/>
  <c r="N26" i="1" s="1"/>
  <c r="M26" i="7"/>
  <c r="M26" i="1"/>
  <c r="L26" i="7"/>
  <c r="L26" i="1" s="1"/>
  <c r="K26" i="7"/>
  <c r="K26" i="1"/>
  <c r="J26" i="7"/>
  <c r="J26" i="1" s="1"/>
  <c r="I26" i="7"/>
  <c r="I26" i="1"/>
  <c r="H26" i="7"/>
  <c r="H26" i="1" s="1"/>
  <c r="G26" i="7"/>
  <c r="G26" i="1" s="1"/>
  <c r="F26" i="7"/>
  <c r="F26" i="1" s="1"/>
  <c r="E26" i="7"/>
  <c r="E26" i="1" s="1"/>
  <c r="D26" i="7"/>
  <c r="D26" i="1" s="1"/>
  <c r="C26" i="7"/>
  <c r="C26" i="1" s="1"/>
  <c r="B26" i="7"/>
  <c r="B26" i="1"/>
  <c r="Q24" i="7"/>
  <c r="Q24" i="1" s="1"/>
  <c r="P24" i="7"/>
  <c r="P24" i="1"/>
  <c r="O24" i="7"/>
  <c r="O24" i="1" s="1"/>
  <c r="N24" i="7"/>
  <c r="M24" i="7"/>
  <c r="M24" i="1" s="1"/>
  <c r="L24" i="7"/>
  <c r="L24" i="1"/>
  <c r="K24" i="7"/>
  <c r="K24" i="1" s="1"/>
  <c r="J24" i="7"/>
  <c r="J24" i="1" s="1"/>
  <c r="I24" i="7"/>
  <c r="I24" i="1"/>
  <c r="H24" i="7"/>
  <c r="H24" i="1" s="1"/>
  <c r="G24" i="7"/>
  <c r="G24" i="1" s="1"/>
  <c r="F24" i="7"/>
  <c r="F24" i="1" s="1"/>
  <c r="E24" i="7"/>
  <c r="E24" i="1"/>
  <c r="D24" i="7"/>
  <c r="D24" i="1" s="1"/>
  <c r="C24" i="7"/>
  <c r="C24" i="1" s="1"/>
  <c r="B24" i="7"/>
  <c r="B24" i="1" s="1"/>
  <c r="Q39" i="1"/>
  <c r="Q124" i="1"/>
  <c r="Q10" i="1" s="1"/>
  <c r="Q125" i="1"/>
  <c r="Q137" i="1"/>
  <c r="Q140" i="1"/>
  <c r="Q141" i="1"/>
  <c r="Q143" i="1"/>
  <c r="Q144" i="1"/>
  <c r="Q147" i="1"/>
  <c r="P39" i="1"/>
  <c r="P124" i="1"/>
  <c r="P10" i="1" s="1"/>
  <c r="P125" i="1"/>
  <c r="P137" i="1"/>
  <c r="P140" i="1"/>
  <c r="P141" i="1"/>
  <c r="P143" i="1"/>
  <c r="P144" i="1"/>
  <c r="P18" i="1" s="1"/>
  <c r="P147" i="1"/>
  <c r="O39" i="1"/>
  <c r="O124" i="1"/>
  <c r="O10" i="1" s="1"/>
  <c r="O125" i="1"/>
  <c r="O137" i="1"/>
  <c r="O140" i="1"/>
  <c r="O141" i="1"/>
  <c r="O143" i="1"/>
  <c r="O144" i="1"/>
  <c r="O18" i="1" s="1"/>
  <c r="O147" i="1"/>
  <c r="N39" i="1"/>
  <c r="N124" i="1"/>
  <c r="N125" i="1"/>
  <c r="N137" i="1"/>
  <c r="N140" i="1"/>
  <c r="N141" i="1"/>
  <c r="N143" i="1"/>
  <c r="N144" i="1"/>
  <c r="N147" i="1"/>
  <c r="M39" i="1"/>
  <c r="M124" i="1"/>
  <c r="M10" i="1" s="1"/>
  <c r="M125" i="1"/>
  <c r="M137" i="1"/>
  <c r="M140" i="1"/>
  <c r="M141" i="1"/>
  <c r="M143" i="1"/>
  <c r="M144" i="1"/>
  <c r="M147" i="1"/>
  <c r="L39" i="1"/>
  <c r="L124" i="1"/>
  <c r="L10" i="1" s="1"/>
  <c r="L125" i="1"/>
  <c r="L137" i="1"/>
  <c r="L140" i="1"/>
  <c r="L141" i="1"/>
  <c r="L143" i="1"/>
  <c r="L144" i="1"/>
  <c r="L147" i="1"/>
  <c r="K39" i="1"/>
  <c r="K124" i="1"/>
  <c r="K10" i="1" s="1"/>
  <c r="K125" i="1"/>
  <c r="K137" i="1"/>
  <c r="K140" i="1"/>
  <c r="K141" i="1"/>
  <c r="K143" i="1"/>
  <c r="K144" i="1"/>
  <c r="K147" i="1"/>
  <c r="J39" i="1"/>
  <c r="J124" i="1"/>
  <c r="J125" i="1"/>
  <c r="J137" i="1"/>
  <c r="J140" i="1"/>
  <c r="J141" i="1"/>
  <c r="J143" i="1"/>
  <c r="J144" i="1"/>
  <c r="J147" i="1"/>
  <c r="I39" i="1"/>
  <c r="I124" i="1"/>
  <c r="I10" i="1" s="1"/>
  <c r="I125" i="1"/>
  <c r="I137" i="1"/>
  <c r="I140" i="1"/>
  <c r="I141" i="1"/>
  <c r="I143" i="1"/>
  <c r="I144" i="1"/>
  <c r="I147" i="1"/>
  <c r="H39" i="1"/>
  <c r="H124" i="1"/>
  <c r="H10" i="1" s="1"/>
  <c r="H125" i="1"/>
  <c r="H137" i="1"/>
  <c r="H140" i="1"/>
  <c r="H141" i="1"/>
  <c r="H143" i="1"/>
  <c r="H144" i="1"/>
  <c r="H147" i="1"/>
  <c r="H96" i="1" s="1"/>
  <c r="G39" i="1"/>
  <c r="G124" i="1"/>
  <c r="G10" i="1" s="1"/>
  <c r="G125" i="1"/>
  <c r="G137" i="1"/>
  <c r="G140" i="1"/>
  <c r="G141" i="1"/>
  <c r="G143" i="1"/>
  <c r="G144" i="1"/>
  <c r="G18" i="1" s="1"/>
  <c r="G147" i="1"/>
  <c r="F39" i="1"/>
  <c r="F124" i="1"/>
  <c r="F125" i="1"/>
  <c r="F137" i="1"/>
  <c r="F140" i="1"/>
  <c r="F141" i="1"/>
  <c r="F143" i="1"/>
  <c r="F144" i="1"/>
  <c r="F147" i="1"/>
  <c r="E39" i="1"/>
  <c r="E124" i="1"/>
  <c r="E10" i="1" s="1"/>
  <c r="E125" i="1"/>
  <c r="E137" i="1"/>
  <c r="E140" i="1"/>
  <c r="E141" i="1"/>
  <c r="E143" i="1"/>
  <c r="E144" i="1"/>
  <c r="E147" i="1"/>
  <c r="D39" i="1"/>
  <c r="D83" i="1" s="1"/>
  <c r="D124" i="1"/>
  <c r="D10" i="1" s="1"/>
  <c r="D125" i="1"/>
  <c r="D137" i="1"/>
  <c r="D140" i="1"/>
  <c r="D82" i="1" s="1"/>
  <c r="D141" i="1"/>
  <c r="D143" i="1"/>
  <c r="D144" i="1"/>
  <c r="D18" i="1" s="1"/>
  <c r="D147" i="1"/>
  <c r="C39" i="1"/>
  <c r="C124" i="1"/>
  <c r="C10" i="1" s="1"/>
  <c r="C125" i="1"/>
  <c r="C137" i="1"/>
  <c r="C140" i="1"/>
  <c r="C141" i="1"/>
  <c r="C143" i="1"/>
  <c r="C144" i="1"/>
  <c r="C18" i="1" s="1"/>
  <c r="C147" i="1"/>
  <c r="Q133" i="1"/>
  <c r="P133" i="1"/>
  <c r="O133" i="1"/>
  <c r="N133" i="1"/>
  <c r="M133" i="1"/>
  <c r="L133" i="1"/>
  <c r="K133" i="1"/>
  <c r="K36" i="1" s="1"/>
  <c r="J133" i="1"/>
  <c r="I133" i="1"/>
  <c r="H133" i="1"/>
  <c r="G133" i="1"/>
  <c r="G36" i="1" s="1"/>
  <c r="F133" i="1"/>
  <c r="E133" i="1"/>
  <c r="D133" i="1"/>
  <c r="C133" i="1"/>
  <c r="Q48" i="1"/>
  <c r="Q130" i="1"/>
  <c r="Q145" i="1"/>
  <c r="P48" i="1"/>
  <c r="P94" i="1" s="1"/>
  <c r="P130" i="1"/>
  <c r="P145" i="1"/>
  <c r="O48" i="1"/>
  <c r="O130" i="1"/>
  <c r="O77" i="1" s="1"/>
  <c r="O145" i="1"/>
  <c r="N48" i="1"/>
  <c r="N130" i="1"/>
  <c r="N145" i="1"/>
  <c r="M48" i="1"/>
  <c r="M130" i="1"/>
  <c r="M145" i="1"/>
  <c r="L48" i="1"/>
  <c r="L130" i="1"/>
  <c r="L145" i="1"/>
  <c r="K48" i="1"/>
  <c r="K130" i="1"/>
  <c r="K145" i="1"/>
  <c r="J48" i="1"/>
  <c r="J130" i="1"/>
  <c r="J145" i="1"/>
  <c r="J91" i="1" s="1"/>
  <c r="I130" i="1"/>
  <c r="I145" i="1"/>
  <c r="H48" i="1"/>
  <c r="H94" i="1" s="1"/>
  <c r="H130" i="1"/>
  <c r="H145" i="1"/>
  <c r="G48" i="1"/>
  <c r="G130" i="1"/>
  <c r="G145" i="1"/>
  <c r="F48" i="1"/>
  <c r="F130" i="1"/>
  <c r="F145" i="1"/>
  <c r="E48" i="1"/>
  <c r="E130" i="1"/>
  <c r="E145" i="1"/>
  <c r="D48" i="1"/>
  <c r="D130" i="1"/>
  <c r="D145" i="1"/>
  <c r="C48" i="1"/>
  <c r="C130" i="1"/>
  <c r="C145" i="1"/>
  <c r="Q105" i="1"/>
  <c r="P105" i="1"/>
  <c r="O105" i="1"/>
  <c r="O34" i="1" s="1"/>
  <c r="N105" i="1"/>
  <c r="M105" i="1"/>
  <c r="L105" i="1"/>
  <c r="K105" i="1"/>
  <c r="K34" i="1" s="1"/>
  <c r="J105" i="1"/>
  <c r="I105" i="1"/>
  <c r="H105" i="1"/>
  <c r="G105" i="1"/>
  <c r="G34" i="1" s="1"/>
  <c r="F105" i="1"/>
  <c r="E105" i="1"/>
  <c r="D105" i="1"/>
  <c r="C105" i="1"/>
  <c r="C34" i="1" s="1"/>
  <c r="B39" i="1"/>
  <c r="B124" i="1"/>
  <c r="B10" i="1" s="1"/>
  <c r="B125" i="1"/>
  <c r="B137" i="1"/>
  <c r="B140" i="1"/>
  <c r="B141" i="1"/>
  <c r="B16" i="1" s="1"/>
  <c r="B143" i="1"/>
  <c r="B144" i="1"/>
  <c r="B18" i="1" s="1"/>
  <c r="B147" i="1"/>
  <c r="B133" i="1"/>
  <c r="B36" i="1" s="1"/>
  <c r="B48" i="1"/>
  <c r="B130" i="1"/>
  <c r="B145" i="1"/>
  <c r="B105" i="1"/>
  <c r="B34" i="1" s="1"/>
  <c r="Q29" i="1"/>
  <c r="Q136" i="1"/>
  <c r="Q100" i="7"/>
  <c r="P29" i="1"/>
  <c r="P136" i="1"/>
  <c r="P100" i="7"/>
  <c r="O29" i="1"/>
  <c r="O136" i="1"/>
  <c r="O100" i="7"/>
  <c r="N29" i="1"/>
  <c r="N136" i="1"/>
  <c r="N100" i="7"/>
  <c r="M29" i="1"/>
  <c r="M136" i="1"/>
  <c r="M100" i="7"/>
  <c r="L29" i="1"/>
  <c r="L136" i="1"/>
  <c r="L100" i="7"/>
  <c r="K29" i="1"/>
  <c r="K82" i="1" s="1"/>
  <c r="K136" i="1"/>
  <c r="K100" i="7"/>
  <c r="J29" i="1"/>
  <c r="J136" i="1"/>
  <c r="J76" i="1" s="1"/>
  <c r="J100" i="7"/>
  <c r="I29" i="1"/>
  <c r="I136" i="1"/>
  <c r="I100" i="7"/>
  <c r="H29" i="1"/>
  <c r="H136" i="1"/>
  <c r="H100" i="7"/>
  <c r="G29" i="1"/>
  <c r="G84" i="1" s="1"/>
  <c r="G100" i="1" s="1"/>
  <c r="G136" i="1"/>
  <c r="G100" i="7"/>
  <c r="F29" i="1"/>
  <c r="F82" i="1" s="1"/>
  <c r="F136" i="1"/>
  <c r="F100" i="7"/>
  <c r="E29" i="1"/>
  <c r="E136" i="1"/>
  <c r="E100" i="7"/>
  <c r="D29" i="1"/>
  <c r="D136" i="1"/>
  <c r="D100" i="7"/>
  <c r="C29" i="1"/>
  <c r="C136" i="1"/>
  <c r="C100" i="7"/>
  <c r="Q98" i="7"/>
  <c r="P98" i="7"/>
  <c r="O98" i="7"/>
  <c r="N98" i="7"/>
  <c r="M98" i="7"/>
  <c r="M98" i="1" s="1"/>
  <c r="L98" i="7"/>
  <c r="K98" i="7"/>
  <c r="J98" i="7"/>
  <c r="I98" i="7"/>
  <c r="H98" i="7"/>
  <c r="G98" i="7"/>
  <c r="F98" i="7"/>
  <c r="E98" i="7"/>
  <c r="E98" i="1" s="1"/>
  <c r="D98" i="7"/>
  <c r="C98" i="7"/>
  <c r="Q53" i="1"/>
  <c r="Q97" i="7"/>
  <c r="Q99" i="7" s="1"/>
  <c r="P53" i="1"/>
  <c r="P97" i="7"/>
  <c r="P94" i="7" s="1"/>
  <c r="O53" i="1"/>
  <c r="O97" i="7"/>
  <c r="O99" i="7" s="1"/>
  <c r="N53" i="1"/>
  <c r="N97" i="7"/>
  <c r="M53" i="1"/>
  <c r="M97" i="7"/>
  <c r="M99" i="7" s="1"/>
  <c r="L53" i="1"/>
  <c r="L97" i="7"/>
  <c r="K53" i="1"/>
  <c r="K97" i="7"/>
  <c r="K99" i="7" s="1"/>
  <c r="K99" i="1"/>
  <c r="J53" i="1"/>
  <c r="J97" i="7"/>
  <c r="I53" i="1"/>
  <c r="I97" i="7"/>
  <c r="H53" i="1"/>
  <c r="H97" i="7"/>
  <c r="G53" i="1"/>
  <c r="G97" i="7"/>
  <c r="F53" i="1"/>
  <c r="F97" i="7"/>
  <c r="E53" i="1"/>
  <c r="E97" i="7"/>
  <c r="E94" i="7" s="1"/>
  <c r="D53" i="1"/>
  <c r="D97" i="7"/>
  <c r="D99" i="7" s="1"/>
  <c r="C53" i="1"/>
  <c r="C97" i="7"/>
  <c r="B98" i="7"/>
  <c r="B53" i="1"/>
  <c r="B97" i="7"/>
  <c r="B29" i="1"/>
  <c r="B136" i="1"/>
  <c r="B100" i="7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Q18" i="1"/>
  <c r="Q127" i="1"/>
  <c r="Q20" i="7"/>
  <c r="Q13" i="7" s="1"/>
  <c r="P127" i="1"/>
  <c r="P20" i="7"/>
  <c r="P13" i="7" s="1"/>
  <c r="O127" i="1"/>
  <c r="O11" i="1" s="1"/>
  <c r="O20" i="7"/>
  <c r="N18" i="1"/>
  <c r="N127" i="1"/>
  <c r="N11" i="1" s="1"/>
  <c r="N20" i="7"/>
  <c r="M18" i="1"/>
  <c r="M127" i="1"/>
  <c r="M11" i="1" s="1"/>
  <c r="M20" i="7"/>
  <c r="L18" i="1"/>
  <c r="L127" i="1"/>
  <c r="L11" i="1" s="1"/>
  <c r="L20" i="7"/>
  <c r="L13" i="7" s="1"/>
  <c r="K18" i="1"/>
  <c r="K127" i="1"/>
  <c r="K11" i="1" s="1"/>
  <c r="K20" i="7"/>
  <c r="K13" i="7"/>
  <c r="J18" i="1"/>
  <c r="J12" i="1" s="1"/>
  <c r="J127" i="1"/>
  <c r="J11" i="1" s="1"/>
  <c r="J20" i="7"/>
  <c r="J13" i="7"/>
  <c r="I18" i="1"/>
  <c r="I12" i="1" s="1"/>
  <c r="I127" i="1"/>
  <c r="I11" i="1" s="1"/>
  <c r="I20" i="7"/>
  <c r="H18" i="1"/>
  <c r="H127" i="1"/>
  <c r="H20" i="7"/>
  <c r="H13" i="7" s="1"/>
  <c r="G127" i="1"/>
  <c r="G11" i="1" s="1"/>
  <c r="G20" i="7"/>
  <c r="F18" i="1"/>
  <c r="F127" i="1"/>
  <c r="F20" i="7"/>
  <c r="F13" i="7" s="1"/>
  <c r="E18" i="1"/>
  <c r="E127" i="1"/>
  <c r="E20" i="7"/>
  <c r="D127" i="1"/>
  <c r="D11" i="1" s="1"/>
  <c r="D20" i="7"/>
  <c r="D13" i="7"/>
  <c r="C127" i="1"/>
  <c r="C11" i="1" s="1"/>
  <c r="C20" i="7"/>
  <c r="C13" i="7"/>
  <c r="B127" i="1"/>
  <c r="B20" i="7"/>
  <c r="B13" i="7" s="1"/>
  <c r="Q62" i="1"/>
  <c r="Q6" i="1" s="1"/>
  <c r="Q138" i="1"/>
  <c r="P62" i="1"/>
  <c r="P6" i="1" s="1"/>
  <c r="P138" i="1"/>
  <c r="O62" i="1"/>
  <c r="O138" i="1"/>
  <c r="N62" i="1"/>
  <c r="N138" i="1"/>
  <c r="M62" i="1"/>
  <c r="M138" i="1"/>
  <c r="L62" i="1"/>
  <c r="L138" i="1"/>
  <c r="K62" i="1"/>
  <c r="K138" i="1"/>
  <c r="J62" i="1"/>
  <c r="J138" i="1"/>
  <c r="I62" i="1"/>
  <c r="I138" i="1"/>
  <c r="H62" i="1"/>
  <c r="H138" i="1"/>
  <c r="G62" i="1"/>
  <c r="G138" i="1"/>
  <c r="G6" i="1"/>
  <c r="F62" i="1"/>
  <c r="F138" i="1"/>
  <c r="E62" i="1"/>
  <c r="E138" i="1"/>
  <c r="D62" i="1"/>
  <c r="D138" i="1"/>
  <c r="D6" i="1"/>
  <c r="C62" i="1"/>
  <c r="C6" i="1" s="1"/>
  <c r="C138" i="1"/>
  <c r="B62" i="1"/>
  <c r="B138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Q83" i="7"/>
  <c r="P83" i="7"/>
  <c r="O83" i="7"/>
  <c r="N83" i="7"/>
  <c r="M83" i="7"/>
  <c r="L83" i="7"/>
  <c r="K83" i="7"/>
  <c r="J83" i="7"/>
  <c r="J83" i="1" s="1"/>
  <c r="I83" i="7"/>
  <c r="H83" i="7"/>
  <c r="G83" i="7"/>
  <c r="G83" i="1"/>
  <c r="F83" i="7"/>
  <c r="E83" i="7"/>
  <c r="D83" i="7"/>
  <c r="C83" i="7"/>
  <c r="C83" i="1"/>
  <c r="M79" i="7"/>
  <c r="L79" i="7"/>
  <c r="K79" i="7"/>
  <c r="J79" i="7"/>
  <c r="I79" i="7"/>
  <c r="H79" i="7"/>
  <c r="G79" i="7"/>
  <c r="G79" i="1" s="1"/>
  <c r="F79" i="7"/>
  <c r="E79" i="7"/>
  <c r="D79" i="7"/>
  <c r="D79" i="1" s="1"/>
  <c r="C79" i="7"/>
  <c r="C79" i="1"/>
  <c r="B129" i="1"/>
  <c r="B83" i="7"/>
  <c r="B83" i="1" s="1"/>
  <c r="B79" i="7"/>
  <c r="Q142" i="1"/>
  <c r="Q92" i="7"/>
  <c r="P142" i="1"/>
  <c r="P92" i="7"/>
  <c r="O142" i="1"/>
  <c r="O92" i="7"/>
  <c r="N142" i="1"/>
  <c r="N92" i="7"/>
  <c r="M142" i="1"/>
  <c r="M92" i="7"/>
  <c r="L142" i="1"/>
  <c r="L92" i="7"/>
  <c r="L92" i="1"/>
  <c r="K142" i="1"/>
  <c r="K92" i="7"/>
  <c r="J142" i="1"/>
  <c r="J92" i="7"/>
  <c r="I142" i="1"/>
  <c r="I92" i="7"/>
  <c r="H142" i="1"/>
  <c r="H92" i="7"/>
  <c r="G142" i="1"/>
  <c r="G92" i="7"/>
  <c r="F142" i="1"/>
  <c r="F92" i="7"/>
  <c r="E142" i="1"/>
  <c r="E92" i="7"/>
  <c r="D142" i="1"/>
  <c r="D92" i="7"/>
  <c r="C142" i="1"/>
  <c r="C92" i="7"/>
  <c r="B142" i="1"/>
  <c r="B92" i="7"/>
  <c r="Q93" i="7"/>
  <c r="Q93" i="1" s="1"/>
  <c r="P93" i="7"/>
  <c r="O93" i="7"/>
  <c r="O93" i="1" s="1"/>
  <c r="N93" i="7"/>
  <c r="M93" i="7"/>
  <c r="M93" i="1"/>
  <c r="L93" i="7"/>
  <c r="K93" i="7"/>
  <c r="J93" i="7"/>
  <c r="I93" i="7"/>
  <c r="I93" i="1" s="1"/>
  <c r="H93" i="7"/>
  <c r="G93" i="7"/>
  <c r="G93" i="1" s="1"/>
  <c r="F93" i="7"/>
  <c r="E93" i="7"/>
  <c r="E93" i="1"/>
  <c r="D93" i="7"/>
  <c r="C93" i="7"/>
  <c r="B93" i="7"/>
  <c r="Q52" i="7"/>
  <c r="Q52" i="1" s="1"/>
  <c r="P52" i="7"/>
  <c r="O52" i="7"/>
  <c r="O52" i="1" s="1"/>
  <c r="N52" i="7"/>
  <c r="M52" i="7"/>
  <c r="M52" i="1"/>
  <c r="L52" i="7"/>
  <c r="K52" i="7"/>
  <c r="K52" i="1" s="1"/>
  <c r="J52" i="7"/>
  <c r="I52" i="7"/>
  <c r="I52" i="1"/>
  <c r="H52" i="7"/>
  <c r="G52" i="7"/>
  <c r="G52" i="1" s="1"/>
  <c r="F52" i="7"/>
  <c r="E52" i="7"/>
  <c r="E52" i="1" s="1"/>
  <c r="D52" i="7"/>
  <c r="C52" i="7"/>
  <c r="C52" i="1" s="1"/>
  <c r="B52" i="7"/>
  <c r="Q15" i="1"/>
  <c r="Q19" i="1"/>
  <c r="Q103" i="7"/>
  <c r="Q103" i="1" s="1"/>
  <c r="P15" i="1"/>
  <c r="P19" i="1"/>
  <c r="P103" i="1"/>
  <c r="P103" i="7"/>
  <c r="O15" i="1"/>
  <c r="O19" i="1"/>
  <c r="O103" i="7"/>
  <c r="O103" i="1" s="1"/>
  <c r="N15" i="1"/>
  <c r="N19" i="1"/>
  <c r="N103" i="7"/>
  <c r="N103" i="1"/>
  <c r="M15" i="1"/>
  <c r="M19" i="1"/>
  <c r="M103" i="7"/>
  <c r="M103" i="1" s="1"/>
  <c r="L15" i="1"/>
  <c r="L19" i="1"/>
  <c r="L103" i="7"/>
  <c r="K15" i="1"/>
  <c r="K19" i="1"/>
  <c r="K103" i="7"/>
  <c r="J15" i="1"/>
  <c r="J19" i="1"/>
  <c r="J103" i="7"/>
  <c r="J103" i="1" s="1"/>
  <c r="I15" i="1"/>
  <c r="I19" i="1"/>
  <c r="I102" i="1" s="1"/>
  <c r="I103" i="7"/>
  <c r="H15" i="1"/>
  <c r="H19" i="1"/>
  <c r="H103" i="7"/>
  <c r="G15" i="1"/>
  <c r="G19" i="1"/>
  <c r="G103" i="7"/>
  <c r="F15" i="1"/>
  <c r="F103" i="1" s="1"/>
  <c r="F19" i="1"/>
  <c r="F103" i="7"/>
  <c r="E15" i="1"/>
  <c r="E19" i="1"/>
  <c r="E103" i="7"/>
  <c r="D15" i="1"/>
  <c r="D19" i="1"/>
  <c r="D103" i="7"/>
  <c r="C15" i="1"/>
  <c r="C19" i="1"/>
  <c r="C103" i="7"/>
  <c r="C103" i="1" s="1"/>
  <c r="Q102" i="7"/>
  <c r="Q102" i="1" s="1"/>
  <c r="P102" i="7"/>
  <c r="P102" i="1" s="1"/>
  <c r="O102" i="7"/>
  <c r="N102" i="7"/>
  <c r="N102" i="1" s="1"/>
  <c r="M102" i="7"/>
  <c r="L102" i="7"/>
  <c r="K102" i="7"/>
  <c r="J102" i="7"/>
  <c r="J102" i="1" s="1"/>
  <c r="I102" i="7"/>
  <c r="H102" i="7"/>
  <c r="G102" i="7"/>
  <c r="F102" i="7"/>
  <c r="F102" i="1" s="1"/>
  <c r="E102" i="7"/>
  <c r="D102" i="7"/>
  <c r="C102" i="7"/>
  <c r="C102" i="1" s="1"/>
  <c r="B15" i="1"/>
  <c r="B19" i="1"/>
  <c r="B103" i="7"/>
  <c r="B102" i="7"/>
  <c r="Q123" i="1"/>
  <c r="Q126" i="1"/>
  <c r="Q78" i="7"/>
  <c r="P123" i="1"/>
  <c r="P126" i="1"/>
  <c r="P78" i="7"/>
  <c r="O123" i="1"/>
  <c r="O126" i="1"/>
  <c r="O78" i="7"/>
  <c r="N123" i="1"/>
  <c r="N126" i="1"/>
  <c r="N78" i="7"/>
  <c r="M123" i="1"/>
  <c r="M126" i="1"/>
  <c r="M78" i="7"/>
  <c r="L123" i="1"/>
  <c r="L126" i="1"/>
  <c r="L78" i="7"/>
  <c r="K123" i="1"/>
  <c r="K126" i="1"/>
  <c r="K88" i="1" s="1"/>
  <c r="K78" i="7"/>
  <c r="J123" i="1"/>
  <c r="J126" i="1"/>
  <c r="J78" i="7"/>
  <c r="I123" i="1"/>
  <c r="I126" i="1"/>
  <c r="I78" i="7"/>
  <c r="H123" i="1"/>
  <c r="H81" i="1" s="1"/>
  <c r="H126" i="1"/>
  <c r="H78" i="7"/>
  <c r="G123" i="1"/>
  <c r="G126" i="1"/>
  <c r="G78" i="7"/>
  <c r="F123" i="1"/>
  <c r="F126" i="1"/>
  <c r="F78" i="7"/>
  <c r="E123" i="1"/>
  <c r="E126" i="1"/>
  <c r="E78" i="7"/>
  <c r="D123" i="1"/>
  <c r="D126" i="1"/>
  <c r="D78" i="7"/>
  <c r="C123" i="1"/>
  <c r="C126" i="1"/>
  <c r="C88" i="1" s="1"/>
  <c r="C78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D77" i="1"/>
  <c r="C77" i="7"/>
  <c r="Q76" i="7"/>
  <c r="P76" i="7"/>
  <c r="O76" i="7"/>
  <c r="N76" i="7"/>
  <c r="M76" i="7"/>
  <c r="M76" i="1" s="1"/>
  <c r="L76" i="7"/>
  <c r="K76" i="7"/>
  <c r="K76" i="1" s="1"/>
  <c r="J76" i="7"/>
  <c r="I76" i="7"/>
  <c r="I76" i="1"/>
  <c r="H76" i="7"/>
  <c r="G76" i="7"/>
  <c r="G76" i="1"/>
  <c r="F76" i="7"/>
  <c r="E76" i="7"/>
  <c r="D76" i="7"/>
  <c r="D76" i="1" s="1"/>
  <c r="C76" i="7"/>
  <c r="C76" i="1"/>
  <c r="P82" i="1"/>
  <c r="O82" i="1"/>
  <c r="H82" i="1"/>
  <c r="B123" i="1"/>
  <c r="B126" i="1"/>
  <c r="B78" i="7"/>
  <c r="B77" i="7"/>
  <c r="B76" i="7"/>
  <c r="Q69" i="7"/>
  <c r="Q69" i="1" s="1"/>
  <c r="P69" i="7"/>
  <c r="P69" i="1" s="1"/>
  <c r="O69" i="7"/>
  <c r="O69" i="1" s="1"/>
  <c r="N69" i="7"/>
  <c r="N69" i="1" s="1"/>
  <c r="M69" i="7"/>
  <c r="M69" i="1" s="1"/>
  <c r="L69" i="7"/>
  <c r="L69" i="1" s="1"/>
  <c r="K69" i="7"/>
  <c r="K69" i="1" s="1"/>
  <c r="J69" i="7"/>
  <c r="J69" i="1" s="1"/>
  <c r="I69" i="7"/>
  <c r="I69" i="1" s="1"/>
  <c r="H69" i="7"/>
  <c r="H69" i="1" s="1"/>
  <c r="G69" i="7"/>
  <c r="G69" i="1" s="1"/>
  <c r="F69" i="7"/>
  <c r="F69" i="1" s="1"/>
  <c r="E69" i="7"/>
  <c r="E69" i="1" s="1"/>
  <c r="D69" i="7"/>
  <c r="D69" i="1" s="1"/>
  <c r="C69" i="7"/>
  <c r="C69" i="1" s="1"/>
  <c r="Q68" i="7"/>
  <c r="Q68" i="1" s="1"/>
  <c r="P68" i="7"/>
  <c r="P68" i="1" s="1"/>
  <c r="O68" i="7"/>
  <c r="O68" i="1" s="1"/>
  <c r="N68" i="7"/>
  <c r="N68" i="1" s="1"/>
  <c r="M68" i="7"/>
  <c r="M68" i="1" s="1"/>
  <c r="L68" i="7"/>
  <c r="L68" i="1" s="1"/>
  <c r="K68" i="7"/>
  <c r="K68" i="1" s="1"/>
  <c r="J68" i="7"/>
  <c r="J68" i="1" s="1"/>
  <c r="I68" i="7"/>
  <c r="I68" i="1" s="1"/>
  <c r="H68" i="7"/>
  <c r="H68" i="1" s="1"/>
  <c r="G68" i="7"/>
  <c r="G68" i="1" s="1"/>
  <c r="F68" i="7"/>
  <c r="F68" i="1" s="1"/>
  <c r="E68" i="7"/>
  <c r="E68" i="1" s="1"/>
  <c r="D68" i="7"/>
  <c r="D68" i="1" s="1"/>
  <c r="C68" i="7"/>
  <c r="C68" i="1" s="1"/>
  <c r="B68" i="7"/>
  <c r="B68" i="1" s="1"/>
  <c r="B69" i="7"/>
  <c r="B69" i="1" s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1" i="1"/>
  <c r="B40" i="1"/>
  <c r="Q67" i="7"/>
  <c r="Q67" i="1" s="1"/>
  <c r="P67" i="7"/>
  <c r="P67" i="1" s="1"/>
  <c r="O67" i="7"/>
  <c r="O67" i="1" s="1"/>
  <c r="N67" i="7"/>
  <c r="M67" i="7"/>
  <c r="L67" i="7"/>
  <c r="L67" i="1" s="1"/>
  <c r="K67" i="7"/>
  <c r="K67" i="1" s="1"/>
  <c r="J67" i="7"/>
  <c r="I67" i="7"/>
  <c r="I67" i="1" s="1"/>
  <c r="H67" i="7"/>
  <c r="H67" i="1" s="1"/>
  <c r="G67" i="7"/>
  <c r="G67" i="1" s="1"/>
  <c r="F67" i="7"/>
  <c r="E67" i="7"/>
  <c r="E67" i="1" s="1"/>
  <c r="D67" i="7"/>
  <c r="D67" i="1" s="1"/>
  <c r="C67" i="7"/>
  <c r="C67" i="1" s="1"/>
  <c r="B67" i="7"/>
  <c r="Q22" i="7"/>
  <c r="P22" i="7"/>
  <c r="O22" i="7"/>
  <c r="O22" i="1" s="1"/>
  <c r="N22" i="7"/>
  <c r="N22" i="1" s="1"/>
  <c r="M22" i="7"/>
  <c r="M22" i="1" s="1"/>
  <c r="L22" i="7"/>
  <c r="L22" i="1" s="1"/>
  <c r="K22" i="7"/>
  <c r="K22" i="1" s="1"/>
  <c r="J22" i="7"/>
  <c r="J22" i="1" s="1"/>
  <c r="I22" i="7"/>
  <c r="I22" i="1" s="1"/>
  <c r="H22" i="7"/>
  <c r="G22" i="7"/>
  <c r="F22" i="7"/>
  <c r="E22" i="7"/>
  <c r="D22" i="7"/>
  <c r="D22" i="1" s="1"/>
  <c r="C22" i="7"/>
  <c r="O21" i="1"/>
  <c r="N21" i="1"/>
  <c r="M21" i="1"/>
  <c r="L21" i="1"/>
  <c r="K21" i="1"/>
  <c r="J21" i="1"/>
  <c r="I21" i="1"/>
  <c r="G21" i="1"/>
  <c r="D21" i="1"/>
  <c r="C21" i="1"/>
  <c r="Q20" i="1"/>
  <c r="P20" i="1"/>
  <c r="L20" i="1"/>
  <c r="K20" i="1"/>
  <c r="J20" i="1"/>
  <c r="H20" i="1"/>
  <c r="F20" i="1"/>
  <c r="D20" i="1"/>
  <c r="C20" i="1"/>
  <c r="B22" i="7"/>
  <c r="B22" i="1" s="1"/>
  <c r="B20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4" i="1"/>
  <c r="B45" i="1"/>
  <c r="B43" i="1"/>
  <c r="Q28" i="1"/>
  <c r="Q80" i="7"/>
  <c r="Q81" i="7" s="1"/>
  <c r="P28" i="1"/>
  <c r="P80" i="7"/>
  <c r="P81" i="7"/>
  <c r="O28" i="1"/>
  <c r="O80" i="7"/>
  <c r="O81" i="7"/>
  <c r="N28" i="1"/>
  <c r="N80" i="7"/>
  <c r="N81" i="7" s="1"/>
  <c r="M28" i="1"/>
  <c r="M81" i="7"/>
  <c r="L28" i="1"/>
  <c r="L81" i="7"/>
  <c r="K28" i="1"/>
  <c r="K81" i="7"/>
  <c r="J28" i="1"/>
  <c r="J81" i="7"/>
  <c r="I28" i="1"/>
  <c r="I81" i="7"/>
  <c r="H28" i="1"/>
  <c r="H80" i="1" s="1"/>
  <c r="H81" i="7"/>
  <c r="G28" i="1"/>
  <c r="G81" i="7"/>
  <c r="F28" i="1"/>
  <c r="F80" i="1" s="1"/>
  <c r="F81" i="7"/>
  <c r="E28" i="1"/>
  <c r="E81" i="7"/>
  <c r="D28" i="1"/>
  <c r="D81" i="7"/>
  <c r="C28" i="1"/>
  <c r="C81" i="7"/>
  <c r="B28" i="1"/>
  <c r="B81" i="7"/>
  <c r="B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N67" i="1"/>
  <c r="M67" i="1"/>
  <c r="J67" i="1"/>
  <c r="F67" i="1"/>
  <c r="B67" i="1"/>
  <c r="Q74" i="7"/>
  <c r="Q74" i="1" s="1"/>
  <c r="P74" i="7"/>
  <c r="P74" i="1" s="1"/>
  <c r="O74" i="7"/>
  <c r="O74" i="1" s="1"/>
  <c r="N74" i="7"/>
  <c r="N74" i="1" s="1"/>
  <c r="M74" i="7"/>
  <c r="M74" i="1" s="1"/>
  <c r="L74" i="7"/>
  <c r="L74" i="1" s="1"/>
  <c r="K74" i="7"/>
  <c r="K74" i="1" s="1"/>
  <c r="J74" i="7"/>
  <c r="I74" i="7"/>
  <c r="H74" i="7"/>
  <c r="H74" i="1" s="1"/>
  <c r="G74" i="7"/>
  <c r="F74" i="7"/>
  <c r="E74" i="7"/>
  <c r="D74" i="7"/>
  <c r="C74" i="7"/>
  <c r="C74" i="1" s="1"/>
  <c r="Q73" i="7"/>
  <c r="Q73" i="1" s="1"/>
  <c r="P73" i="7"/>
  <c r="P73" i="1" s="1"/>
  <c r="O73" i="7"/>
  <c r="O73" i="1" s="1"/>
  <c r="N73" i="7"/>
  <c r="N73" i="1" s="1"/>
  <c r="M73" i="7"/>
  <c r="M73" i="1" s="1"/>
  <c r="L73" i="7"/>
  <c r="L73" i="1" s="1"/>
  <c r="K73" i="7"/>
  <c r="J73" i="7"/>
  <c r="J73" i="1" s="1"/>
  <c r="I73" i="7"/>
  <c r="H73" i="7"/>
  <c r="G73" i="7"/>
  <c r="G73" i="1" s="1"/>
  <c r="F73" i="7"/>
  <c r="E73" i="7"/>
  <c r="D73" i="7"/>
  <c r="C73" i="7"/>
  <c r="C73" i="1" s="1"/>
  <c r="B74" i="7"/>
  <c r="B73" i="7"/>
  <c r="N94" i="1"/>
  <c r="L94" i="1"/>
  <c r="J94" i="1"/>
  <c r="F94" i="1"/>
  <c r="D94" i="1"/>
  <c r="Q72" i="7"/>
  <c r="Q72" i="1" s="1"/>
  <c r="P72" i="7"/>
  <c r="O72" i="7"/>
  <c r="O72" i="1" s="1"/>
  <c r="N72" i="7"/>
  <c r="M72" i="7"/>
  <c r="M72" i="1" s="1"/>
  <c r="L72" i="7"/>
  <c r="K72" i="7"/>
  <c r="K72" i="1" s="1"/>
  <c r="J72" i="7"/>
  <c r="J72" i="1" s="1"/>
  <c r="I72" i="7"/>
  <c r="H72" i="7"/>
  <c r="G72" i="7"/>
  <c r="G72" i="1" s="1"/>
  <c r="F72" i="7"/>
  <c r="E72" i="7"/>
  <c r="E72" i="1" s="1"/>
  <c r="D72" i="7"/>
  <c r="C72" i="7"/>
  <c r="C72" i="1" s="1"/>
  <c r="B72" i="7"/>
  <c r="B72" i="1" s="1"/>
  <c r="Q94" i="7"/>
  <c r="O94" i="7"/>
  <c r="N94" i="7"/>
  <c r="M94" i="7"/>
  <c r="L94" i="7"/>
  <c r="K94" i="7"/>
  <c r="J94" i="7"/>
  <c r="H94" i="7"/>
  <c r="F94" i="7"/>
  <c r="D94" i="7"/>
  <c r="B94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O16" i="1"/>
  <c r="C16" i="1"/>
  <c r="Q91" i="7"/>
  <c r="P91" i="7"/>
  <c r="P91" i="1"/>
  <c r="O91" i="7"/>
  <c r="O91" i="1" s="1"/>
  <c r="N91" i="7"/>
  <c r="N91" i="1"/>
  <c r="M91" i="7"/>
  <c r="L91" i="7"/>
  <c r="K91" i="7"/>
  <c r="K91" i="1" s="1"/>
  <c r="J91" i="7"/>
  <c r="I91" i="7"/>
  <c r="H91" i="7"/>
  <c r="H91" i="1" s="1"/>
  <c r="G91" i="7"/>
  <c r="G91" i="1"/>
  <c r="F91" i="7"/>
  <c r="F91" i="1" s="1"/>
  <c r="E91" i="7"/>
  <c r="D91" i="7"/>
  <c r="D91" i="1" s="1"/>
  <c r="C91" i="7"/>
  <c r="Q90" i="7"/>
  <c r="Q90" i="1" s="1"/>
  <c r="P90" i="7"/>
  <c r="O90" i="7"/>
  <c r="O90" i="1"/>
  <c r="N90" i="7"/>
  <c r="M90" i="7"/>
  <c r="L90" i="7"/>
  <c r="K90" i="7"/>
  <c r="K90" i="1" s="1"/>
  <c r="J90" i="7"/>
  <c r="I90" i="7"/>
  <c r="I90" i="1" s="1"/>
  <c r="H90" i="7"/>
  <c r="G90" i="7"/>
  <c r="G90" i="1"/>
  <c r="F90" i="7"/>
  <c r="E90" i="7"/>
  <c r="D90" i="7"/>
  <c r="C90" i="7"/>
  <c r="C90" i="1" s="1"/>
  <c r="Q89" i="7"/>
  <c r="P89" i="7"/>
  <c r="P89" i="1" s="1"/>
  <c r="O89" i="7"/>
  <c r="N89" i="7"/>
  <c r="N89" i="1" s="1"/>
  <c r="M89" i="7"/>
  <c r="L89" i="7"/>
  <c r="L89" i="1"/>
  <c r="K89" i="7"/>
  <c r="K89" i="1" s="1"/>
  <c r="J89" i="7"/>
  <c r="J89" i="1"/>
  <c r="I89" i="7"/>
  <c r="H89" i="7"/>
  <c r="G89" i="7"/>
  <c r="G89" i="1" s="1"/>
  <c r="F89" i="7"/>
  <c r="F89" i="1"/>
  <c r="E89" i="7"/>
  <c r="D89" i="7"/>
  <c r="D89" i="1" s="1"/>
  <c r="C89" i="7"/>
  <c r="C89" i="1"/>
  <c r="Q88" i="7"/>
  <c r="Q88" i="1" s="1"/>
  <c r="P88" i="7"/>
  <c r="O88" i="7"/>
  <c r="N88" i="7"/>
  <c r="M88" i="7"/>
  <c r="M88" i="1"/>
  <c r="L88" i="7"/>
  <c r="K88" i="7"/>
  <c r="J88" i="7"/>
  <c r="I88" i="7"/>
  <c r="I88" i="1" s="1"/>
  <c r="H88" i="7"/>
  <c r="G88" i="7"/>
  <c r="G88" i="1" s="1"/>
  <c r="F88" i="7"/>
  <c r="E88" i="7"/>
  <c r="E88" i="1"/>
  <c r="D88" i="7"/>
  <c r="C88" i="7"/>
  <c r="Q87" i="7"/>
  <c r="P87" i="7"/>
  <c r="P87" i="1" s="1"/>
  <c r="O87" i="7"/>
  <c r="N87" i="7"/>
  <c r="N87" i="1" s="1"/>
  <c r="M87" i="7"/>
  <c r="L87" i="7"/>
  <c r="L87" i="1"/>
  <c r="K87" i="7"/>
  <c r="J87" i="7"/>
  <c r="J87" i="1"/>
  <c r="I87" i="7"/>
  <c r="H87" i="7"/>
  <c r="H87" i="1" s="1"/>
  <c r="G87" i="7"/>
  <c r="F87" i="7"/>
  <c r="F87" i="1" s="1"/>
  <c r="E87" i="7"/>
  <c r="D87" i="7"/>
  <c r="D87" i="1" s="1"/>
  <c r="C87" i="7"/>
  <c r="Q86" i="7"/>
  <c r="Q86" i="1"/>
  <c r="P86" i="7"/>
  <c r="O86" i="7"/>
  <c r="O86" i="1" s="1"/>
  <c r="N86" i="7"/>
  <c r="M86" i="7"/>
  <c r="M86" i="1" s="1"/>
  <c r="L86" i="7"/>
  <c r="K86" i="7"/>
  <c r="K86" i="1"/>
  <c r="J86" i="7"/>
  <c r="I86" i="7"/>
  <c r="I86" i="1"/>
  <c r="H86" i="7"/>
  <c r="G86" i="7"/>
  <c r="G86" i="1" s="1"/>
  <c r="F86" i="7"/>
  <c r="E86" i="7"/>
  <c r="E86" i="1" s="1"/>
  <c r="D86" i="7"/>
  <c r="C86" i="7"/>
  <c r="C86" i="1" s="1"/>
  <c r="B89" i="7"/>
  <c r="B89" i="1" s="1"/>
  <c r="B91" i="7"/>
  <c r="B91" i="1" s="1"/>
  <c r="B90" i="7"/>
  <c r="B90" i="1" s="1"/>
  <c r="B88" i="7"/>
  <c r="B88" i="1"/>
  <c r="B87" i="7"/>
  <c r="B86" i="7"/>
  <c r="B86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72" i="1"/>
  <c r="N72" i="1"/>
  <c r="L72" i="1"/>
  <c r="I72" i="1"/>
  <c r="H72" i="1"/>
  <c r="F72" i="1"/>
  <c r="D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Q116" i="1"/>
  <c r="Q111" i="1" s="1"/>
  <c r="P116" i="1"/>
  <c r="P111" i="1" s="1"/>
  <c r="O116" i="1"/>
  <c r="O111" i="1" s="1"/>
  <c r="N116" i="1"/>
  <c r="N111" i="1" s="1"/>
  <c r="M116" i="1"/>
  <c r="M111" i="1" s="1"/>
  <c r="L116" i="1"/>
  <c r="K116" i="1"/>
  <c r="K111" i="1" s="1"/>
  <c r="J116" i="1"/>
  <c r="J111" i="1" s="1"/>
  <c r="I116" i="1"/>
  <c r="I111" i="1" s="1"/>
  <c r="H116" i="1"/>
  <c r="H111" i="1" s="1"/>
  <c r="G116" i="1"/>
  <c r="G111" i="1" s="1"/>
  <c r="F116" i="1"/>
  <c r="F111" i="1" s="1"/>
  <c r="E116" i="1"/>
  <c r="E111" i="1" s="1"/>
  <c r="D116" i="1"/>
  <c r="C116" i="1"/>
  <c r="C111" i="1" s="1"/>
  <c r="Q110" i="7"/>
  <c r="P110" i="7"/>
  <c r="O110" i="7"/>
  <c r="N110" i="7"/>
  <c r="N110" i="1" s="1"/>
  <c r="M110" i="7"/>
  <c r="L110" i="7"/>
  <c r="K110" i="7"/>
  <c r="J110" i="7"/>
  <c r="I110" i="7"/>
  <c r="H110" i="7"/>
  <c r="H110" i="1" s="1"/>
  <c r="G110" i="7"/>
  <c r="F110" i="7"/>
  <c r="F110" i="1" s="1"/>
  <c r="E110" i="7"/>
  <c r="D110" i="7"/>
  <c r="C110" i="7"/>
  <c r="Q109" i="7"/>
  <c r="P109" i="7"/>
  <c r="P109" i="1" s="1"/>
  <c r="O109" i="7"/>
  <c r="N109" i="7"/>
  <c r="M109" i="7"/>
  <c r="L109" i="7"/>
  <c r="L109" i="1" s="1"/>
  <c r="K109" i="7"/>
  <c r="K109" i="1"/>
  <c r="J109" i="7"/>
  <c r="I109" i="7"/>
  <c r="H109" i="7"/>
  <c r="H109" i="1" s="1"/>
  <c r="G109" i="7"/>
  <c r="F109" i="7"/>
  <c r="E109" i="7"/>
  <c r="E109" i="1" s="1"/>
  <c r="D109" i="7"/>
  <c r="C109" i="7"/>
  <c r="C109" i="1" s="1"/>
  <c r="B116" i="1"/>
  <c r="B110" i="1" s="1"/>
  <c r="B110" i="7"/>
  <c r="B109" i="7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Q121" i="1"/>
  <c r="Q120" i="1"/>
  <c r="Q119" i="1"/>
  <c r="Q118" i="1"/>
  <c r="Q117" i="1"/>
  <c r="P121" i="1"/>
  <c r="P120" i="1"/>
  <c r="P119" i="1"/>
  <c r="P118" i="1"/>
  <c r="P117" i="1"/>
  <c r="O121" i="1"/>
  <c r="O120" i="1"/>
  <c r="O119" i="1"/>
  <c r="O118" i="1"/>
  <c r="O117" i="1"/>
  <c r="N121" i="1"/>
  <c r="N120" i="1"/>
  <c r="N119" i="1"/>
  <c r="N118" i="1"/>
  <c r="N117" i="1"/>
  <c r="M121" i="1"/>
  <c r="M120" i="1"/>
  <c r="M119" i="1"/>
  <c r="M118" i="1"/>
  <c r="M117" i="1"/>
  <c r="L121" i="1"/>
  <c r="L120" i="1"/>
  <c r="L119" i="1"/>
  <c r="L118" i="1"/>
  <c r="L117" i="1"/>
  <c r="K121" i="1"/>
  <c r="K120" i="1"/>
  <c r="K119" i="1"/>
  <c r="K118" i="1"/>
  <c r="K117" i="1"/>
  <c r="J121" i="1"/>
  <c r="J120" i="1"/>
  <c r="J119" i="1"/>
  <c r="J118" i="1"/>
  <c r="J117" i="1"/>
  <c r="I121" i="1"/>
  <c r="I120" i="1"/>
  <c r="I119" i="1"/>
  <c r="I118" i="1"/>
  <c r="I117" i="1"/>
  <c r="H121" i="1"/>
  <c r="H120" i="1"/>
  <c r="H119" i="1"/>
  <c r="H118" i="1"/>
  <c r="H117" i="1"/>
  <c r="G121" i="1"/>
  <c r="G120" i="1"/>
  <c r="G119" i="1"/>
  <c r="G118" i="1"/>
  <c r="G117" i="1"/>
  <c r="F121" i="1"/>
  <c r="F120" i="1"/>
  <c r="F119" i="1"/>
  <c r="F118" i="1"/>
  <c r="F117" i="1"/>
  <c r="E121" i="1"/>
  <c r="E120" i="1"/>
  <c r="E119" i="1"/>
  <c r="E118" i="1"/>
  <c r="E117" i="1"/>
  <c r="D121" i="1"/>
  <c r="D120" i="1"/>
  <c r="D119" i="1"/>
  <c r="D118" i="1"/>
  <c r="D117" i="1"/>
  <c r="C121" i="1"/>
  <c r="C120" i="1"/>
  <c r="C119" i="1"/>
  <c r="C118" i="1"/>
  <c r="C117" i="1"/>
  <c r="B121" i="1"/>
  <c r="B120" i="1"/>
  <c r="B119" i="1"/>
  <c r="B118" i="1"/>
  <c r="B117" i="1"/>
  <c r="Q56" i="1"/>
  <c r="P56" i="1"/>
  <c r="O56" i="1"/>
  <c r="N56" i="1"/>
  <c r="M56" i="1"/>
  <c r="L56" i="1"/>
  <c r="K56" i="1"/>
  <c r="J56" i="1"/>
  <c r="H56" i="1"/>
  <c r="G56" i="1"/>
  <c r="F56" i="1"/>
  <c r="E56" i="1"/>
  <c r="D56" i="1"/>
  <c r="C56" i="1"/>
  <c r="B56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Q63" i="7"/>
  <c r="Q63" i="1" s="1"/>
  <c r="P63" i="7"/>
  <c r="P63" i="1" s="1"/>
  <c r="O63" i="7"/>
  <c r="O63" i="1" s="1"/>
  <c r="N63" i="7"/>
  <c r="N63" i="1" s="1"/>
  <c r="M63" i="7"/>
  <c r="M63" i="1" s="1"/>
  <c r="L63" i="7"/>
  <c r="L63" i="1" s="1"/>
  <c r="K63" i="7"/>
  <c r="K63" i="1" s="1"/>
  <c r="J63" i="7"/>
  <c r="J63" i="1" s="1"/>
  <c r="I63" i="7"/>
  <c r="I63" i="1" s="1"/>
  <c r="H63" i="7"/>
  <c r="H63" i="1" s="1"/>
  <c r="G63" i="7"/>
  <c r="G63" i="1"/>
  <c r="F63" i="7"/>
  <c r="F63" i="1" s="1"/>
  <c r="E63" i="7"/>
  <c r="E63" i="1" s="1"/>
  <c r="D63" i="7"/>
  <c r="D63" i="1" s="1"/>
  <c r="C63" i="7"/>
  <c r="C63" i="1" s="1"/>
  <c r="B63" i="7"/>
  <c r="B63" i="1" s="1"/>
  <c r="Q61" i="1"/>
  <c r="P61" i="1"/>
  <c r="O61" i="1"/>
  <c r="N61" i="1"/>
  <c r="M61" i="1"/>
  <c r="L61" i="1"/>
  <c r="K61" i="1"/>
  <c r="J61" i="1"/>
  <c r="H61" i="1"/>
  <c r="G61" i="1"/>
  <c r="F61" i="1"/>
  <c r="E61" i="1"/>
  <c r="D61" i="1"/>
  <c r="C61" i="1"/>
  <c r="B61" i="1"/>
  <c r="Q60" i="1"/>
  <c r="P60" i="1"/>
  <c r="O60" i="1"/>
  <c r="N60" i="1"/>
  <c r="M60" i="1"/>
  <c r="L60" i="1"/>
  <c r="K60" i="1"/>
  <c r="J60" i="1"/>
  <c r="H60" i="1"/>
  <c r="G60" i="1"/>
  <c r="F60" i="1"/>
  <c r="E60" i="1"/>
  <c r="D60" i="1"/>
  <c r="C60" i="1"/>
  <c r="B60" i="1"/>
  <c r="Q59" i="1"/>
  <c r="P59" i="1"/>
  <c r="O59" i="1"/>
  <c r="N59" i="1"/>
  <c r="M59" i="1"/>
  <c r="L59" i="1"/>
  <c r="K59" i="1"/>
  <c r="J59" i="1"/>
  <c r="H59" i="1"/>
  <c r="G59" i="1"/>
  <c r="F59" i="1"/>
  <c r="E59" i="1"/>
  <c r="D59" i="1"/>
  <c r="C59" i="1"/>
  <c r="B59" i="1"/>
  <c r="Q58" i="1"/>
  <c r="P58" i="1"/>
  <c r="O58" i="1"/>
  <c r="N58" i="1"/>
  <c r="M58" i="1"/>
  <c r="L58" i="1"/>
  <c r="K58" i="1"/>
  <c r="J58" i="1"/>
  <c r="H58" i="1"/>
  <c r="G58" i="1"/>
  <c r="F58" i="1"/>
  <c r="E58" i="1"/>
  <c r="D58" i="1"/>
  <c r="C58" i="1"/>
  <c r="B58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2" i="1"/>
  <c r="N52" i="1"/>
  <c r="L52" i="1"/>
  <c r="J52" i="1"/>
  <c r="H52" i="1"/>
  <c r="F52" i="1"/>
  <c r="D52" i="1"/>
  <c r="B52" i="1"/>
  <c r="Q51" i="1"/>
  <c r="P51" i="1"/>
  <c r="O51" i="1"/>
  <c r="N51" i="1"/>
  <c r="M51" i="1"/>
  <c r="L51" i="1"/>
  <c r="K51" i="1"/>
  <c r="J51" i="1"/>
  <c r="H51" i="1"/>
  <c r="G51" i="1"/>
  <c r="F51" i="1"/>
  <c r="E51" i="1"/>
  <c r="D51" i="1"/>
  <c r="C51" i="1"/>
  <c r="B51" i="1"/>
  <c r="Q50" i="1"/>
  <c r="P50" i="1"/>
  <c r="O50" i="1"/>
  <c r="N50" i="1"/>
  <c r="M50" i="1"/>
  <c r="L50" i="1"/>
  <c r="K50" i="1"/>
  <c r="J50" i="1"/>
  <c r="H50" i="1"/>
  <c r="G50" i="1"/>
  <c r="F50" i="1"/>
  <c r="E50" i="1"/>
  <c r="D50" i="1"/>
  <c r="C50" i="1"/>
  <c r="B50" i="1"/>
  <c r="Q49" i="1"/>
  <c r="P49" i="1"/>
  <c r="O49" i="1"/>
  <c r="N49" i="1"/>
  <c r="M49" i="1"/>
  <c r="L49" i="1"/>
  <c r="K49" i="1"/>
  <c r="J49" i="1"/>
  <c r="H49" i="1"/>
  <c r="G49" i="1"/>
  <c r="F49" i="1"/>
  <c r="E49" i="1"/>
  <c r="D49" i="1"/>
  <c r="C49" i="1"/>
  <c r="B49" i="1"/>
  <c r="Q47" i="1"/>
  <c r="P47" i="1"/>
  <c r="O47" i="1"/>
  <c r="N47" i="1"/>
  <c r="M47" i="1"/>
  <c r="L47" i="1"/>
  <c r="K47" i="1"/>
  <c r="J47" i="1"/>
  <c r="H47" i="1"/>
  <c r="G47" i="1"/>
  <c r="F47" i="1"/>
  <c r="E47" i="1"/>
  <c r="D47" i="1"/>
  <c r="C47" i="1"/>
  <c r="B47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C99" i="7"/>
  <c r="C97" i="1"/>
  <c r="G99" i="7"/>
  <c r="G99" i="1" s="1"/>
  <c r="G97" i="1"/>
  <c r="H99" i="7"/>
  <c r="P99" i="7"/>
  <c r="P99" i="1" s="1"/>
  <c r="C94" i="7"/>
  <c r="G94" i="7"/>
  <c r="P80" i="1"/>
  <c r="B99" i="7"/>
  <c r="B97" i="1"/>
  <c r="E99" i="7"/>
  <c r="E99" i="1" s="1"/>
  <c r="L99" i="7"/>
  <c r="B12" i="1"/>
  <c r="B33" i="1"/>
  <c r="B32" i="1"/>
  <c r="B96" i="1"/>
  <c r="J99" i="7"/>
  <c r="J99" i="1" s="1"/>
  <c r="N99" i="7"/>
  <c r="C33" i="1"/>
  <c r="D32" i="1"/>
  <c r="G33" i="1"/>
  <c r="H32" i="1"/>
  <c r="K33" i="1"/>
  <c r="L32" i="1"/>
  <c r="O33" i="1"/>
  <c r="P32" i="1"/>
  <c r="G13" i="7" l="1"/>
  <c r="G20" i="1"/>
  <c r="P11" i="1"/>
  <c r="P21" i="1"/>
  <c r="O36" i="1"/>
  <c r="O89" i="1"/>
  <c r="C96" i="1"/>
  <c r="C93" i="1"/>
  <c r="C91" i="1"/>
  <c r="E76" i="1"/>
  <c r="E81" i="1"/>
  <c r="E90" i="1"/>
  <c r="G96" i="1"/>
  <c r="G32" i="1"/>
  <c r="G16" i="1"/>
  <c r="H76" i="1"/>
  <c r="H77" i="1"/>
  <c r="H89" i="1"/>
  <c r="K16" i="1"/>
  <c r="K96" i="1"/>
  <c r="K93" i="1"/>
  <c r="L16" i="1"/>
  <c r="L91" i="1"/>
  <c r="L83" i="1"/>
  <c r="L77" i="1"/>
  <c r="L79" i="1"/>
  <c r="L76" i="1"/>
  <c r="M96" i="1"/>
  <c r="M82" i="1"/>
  <c r="M80" i="1"/>
  <c r="M90" i="1"/>
  <c r="O32" i="1"/>
  <c r="O96" i="1"/>
  <c r="O99" i="1"/>
  <c r="Q77" i="1"/>
  <c r="Q76" i="1"/>
  <c r="E108" i="1"/>
  <c r="O88" i="1"/>
  <c r="C80" i="1"/>
  <c r="E103" i="1"/>
  <c r="H83" i="1"/>
  <c r="O13" i="7"/>
  <c r="O20" i="1"/>
  <c r="B109" i="1"/>
  <c r="Q108" i="1"/>
  <c r="I109" i="1"/>
  <c r="B11" i="1"/>
  <c r="B21" i="1"/>
  <c r="E13" i="7"/>
  <c r="E20" i="1"/>
  <c r="N13" i="7"/>
  <c r="N20" i="1"/>
  <c r="O83" i="1"/>
  <c r="O76" i="1"/>
  <c r="Q109" i="1"/>
  <c r="Q110" i="1"/>
  <c r="D80" i="1"/>
  <c r="D81" i="1"/>
  <c r="N81" i="1"/>
  <c r="B102" i="1"/>
  <c r="B103" i="1"/>
  <c r="H11" i="1"/>
  <c r="H21" i="1"/>
  <c r="I99" i="7"/>
  <c r="I94" i="7"/>
  <c r="C84" i="1"/>
  <c r="C100" i="1" s="1"/>
  <c r="C82" i="1"/>
  <c r="O84" i="1"/>
  <c r="O100" i="1" s="1"/>
  <c r="K73" i="1"/>
  <c r="D74" i="1"/>
  <c r="I81" i="1"/>
  <c r="K80" i="1"/>
  <c r="B76" i="1"/>
  <c r="F78" i="1"/>
  <c r="J78" i="1"/>
  <c r="N78" i="1"/>
  <c r="F92" i="1"/>
  <c r="J92" i="1"/>
  <c r="N92" i="1"/>
  <c r="B79" i="1"/>
  <c r="F79" i="1"/>
  <c r="N79" i="1"/>
  <c r="E21" i="1"/>
  <c r="E11" i="1"/>
  <c r="F21" i="1"/>
  <c r="F11" i="1"/>
  <c r="J13" i="1"/>
  <c r="D34" i="1"/>
  <c r="H34" i="1"/>
  <c r="L34" i="1"/>
  <c r="P34" i="1"/>
  <c r="C35" i="1"/>
  <c r="G35" i="1"/>
  <c r="J77" i="1"/>
  <c r="K35" i="1"/>
  <c r="M32" i="1"/>
  <c r="N80" i="1"/>
  <c r="O35" i="1"/>
  <c r="Q32" i="1"/>
  <c r="C99" i="1"/>
  <c r="D92" i="1"/>
  <c r="E96" i="1"/>
  <c r="E91" i="1"/>
  <c r="E36" i="1"/>
  <c r="F76" i="1"/>
  <c r="F93" i="1"/>
  <c r="F10" i="1"/>
  <c r="G12" i="1"/>
  <c r="H93" i="1"/>
  <c r="I96" i="1"/>
  <c r="I91" i="1"/>
  <c r="I98" i="1"/>
  <c r="J16" i="1"/>
  <c r="J93" i="1"/>
  <c r="J10" i="1"/>
  <c r="L93" i="1"/>
  <c r="M12" i="1"/>
  <c r="M91" i="1"/>
  <c r="M99" i="1"/>
  <c r="N76" i="1"/>
  <c r="N93" i="1"/>
  <c r="N10" i="1"/>
  <c r="O12" i="1"/>
  <c r="P33" i="1"/>
  <c r="Q96" i="1"/>
  <c r="Q91" i="1"/>
  <c r="Q98" i="1"/>
  <c r="D73" i="1"/>
  <c r="E74" i="1"/>
  <c r="O80" i="1"/>
  <c r="D102" i="1"/>
  <c r="O79" i="1"/>
  <c r="I6" i="1"/>
  <c r="K6" i="1"/>
  <c r="M6" i="1"/>
  <c r="O6" i="1"/>
  <c r="Q12" i="1"/>
  <c r="Q11" i="1"/>
  <c r="B82" i="1"/>
  <c r="D84" i="1"/>
  <c r="D100" i="1" s="1"/>
  <c r="H84" i="1"/>
  <c r="H100" i="1" s="1"/>
  <c r="M84" i="1"/>
  <c r="H108" i="1"/>
  <c r="E73" i="1"/>
  <c r="J74" i="1"/>
  <c r="B81" i="1"/>
  <c r="L81" i="1"/>
  <c r="H22" i="1"/>
  <c r="P22" i="1"/>
  <c r="B78" i="1"/>
  <c r="D78" i="1"/>
  <c r="H78" i="1"/>
  <c r="L78" i="1"/>
  <c r="H79" i="1"/>
  <c r="L6" i="1"/>
  <c r="L13" i="1"/>
  <c r="D97" i="1"/>
  <c r="K83" i="1"/>
  <c r="L82" i="1"/>
  <c r="P84" i="1"/>
  <c r="B87" i="1"/>
  <c r="B93" i="1"/>
  <c r="C32" i="1"/>
  <c r="K32" i="1"/>
  <c r="D12" i="1"/>
  <c r="D13" i="1"/>
  <c r="N32" i="1"/>
  <c r="J32" i="1"/>
  <c r="N99" i="1"/>
  <c r="H99" i="1"/>
  <c r="I108" i="1"/>
  <c r="I110" i="1"/>
  <c r="P110" i="1"/>
  <c r="Q33" i="1"/>
  <c r="M33" i="1"/>
  <c r="I33" i="1"/>
  <c r="E33" i="1"/>
  <c r="E97" i="1"/>
  <c r="B99" i="1"/>
  <c r="M108" i="1"/>
  <c r="D109" i="1"/>
  <c r="D110" i="1"/>
  <c r="J110" i="1"/>
  <c r="M110" i="1"/>
  <c r="F16" i="1"/>
  <c r="P16" i="1"/>
  <c r="C94" i="1"/>
  <c r="G94" i="1"/>
  <c r="K94" i="1"/>
  <c r="O94" i="1"/>
  <c r="B74" i="1"/>
  <c r="F73" i="1"/>
  <c r="G74" i="1"/>
  <c r="B80" i="1"/>
  <c r="F81" i="1"/>
  <c r="K81" i="1"/>
  <c r="L80" i="1"/>
  <c r="O81" i="1"/>
  <c r="C22" i="1"/>
  <c r="G22" i="1"/>
  <c r="B77" i="1"/>
  <c r="G82" i="1"/>
  <c r="C78" i="1"/>
  <c r="G78" i="1"/>
  <c r="K78" i="1"/>
  <c r="O78" i="1"/>
  <c r="K103" i="1"/>
  <c r="B92" i="1"/>
  <c r="H92" i="1"/>
  <c r="M92" i="1"/>
  <c r="O92" i="1"/>
  <c r="E83" i="1"/>
  <c r="P83" i="1"/>
  <c r="H6" i="1"/>
  <c r="B13" i="1"/>
  <c r="H12" i="1"/>
  <c r="N12" i="1"/>
  <c r="L96" i="1"/>
  <c r="D99" i="1"/>
  <c r="H97" i="1"/>
  <c r="L97" i="1"/>
  <c r="P97" i="1"/>
  <c r="G98" i="1"/>
  <c r="O98" i="1"/>
  <c r="K84" i="1"/>
  <c r="K100" i="1" s="1"/>
  <c r="L84" i="1"/>
  <c r="M100" i="1"/>
  <c r="P100" i="1"/>
  <c r="L99" i="1"/>
  <c r="G108" i="1"/>
  <c r="M109" i="1"/>
  <c r="E110" i="1"/>
  <c r="L110" i="1"/>
  <c r="H16" i="1"/>
  <c r="N16" i="1"/>
  <c r="E94" i="1"/>
  <c r="I94" i="1"/>
  <c r="M94" i="1"/>
  <c r="Q94" i="1"/>
  <c r="H73" i="1"/>
  <c r="I74" i="1"/>
  <c r="E80" i="1"/>
  <c r="Q80" i="1"/>
  <c r="G81" i="1"/>
  <c r="M81" i="1"/>
  <c r="Q81" i="1"/>
  <c r="E22" i="1"/>
  <c r="Q22" i="1"/>
  <c r="E82" i="1"/>
  <c r="J82" i="1"/>
  <c r="N82" i="1"/>
  <c r="G77" i="1"/>
  <c r="I77" i="1"/>
  <c r="K77" i="1"/>
  <c r="M77" i="1"/>
  <c r="E78" i="1"/>
  <c r="I78" i="1"/>
  <c r="M78" i="1"/>
  <c r="Q78" i="1"/>
  <c r="K102" i="1"/>
  <c r="G103" i="1"/>
  <c r="I103" i="1"/>
  <c r="E92" i="1"/>
  <c r="Q92" i="1"/>
  <c r="Q83" i="1"/>
  <c r="E79" i="1"/>
  <c r="I79" i="1"/>
  <c r="M79" i="1"/>
  <c r="B6" i="1"/>
  <c r="F12" i="1"/>
  <c r="K13" i="1"/>
  <c r="P12" i="1"/>
  <c r="Q13" i="1"/>
  <c r="D96" i="1"/>
  <c r="J97" i="1"/>
  <c r="N97" i="1"/>
  <c r="C98" i="1"/>
  <c r="K98" i="1"/>
  <c r="E84" i="1"/>
  <c r="E100" i="1" s="1"/>
  <c r="H33" i="1"/>
  <c r="I36" i="1"/>
  <c r="M36" i="1"/>
  <c r="Q36" i="1"/>
  <c r="F96" i="1"/>
  <c r="J96" i="1"/>
  <c r="N96" i="1"/>
  <c r="P13" i="1"/>
  <c r="F32" i="1"/>
  <c r="D86" i="1"/>
  <c r="F86" i="1"/>
  <c r="H86" i="1"/>
  <c r="J86" i="1"/>
  <c r="L86" i="1"/>
  <c r="N86" i="1"/>
  <c r="P86" i="1"/>
  <c r="C87" i="1"/>
  <c r="E87" i="1"/>
  <c r="G87" i="1"/>
  <c r="I87" i="1"/>
  <c r="K87" i="1"/>
  <c r="M87" i="1"/>
  <c r="O87" i="1"/>
  <c r="Q87" i="1"/>
  <c r="D88" i="1"/>
  <c r="F88" i="1"/>
  <c r="H88" i="1"/>
  <c r="J88" i="1"/>
  <c r="L88" i="1"/>
  <c r="N88" i="1"/>
  <c r="P88" i="1"/>
  <c r="E89" i="1"/>
  <c r="I89" i="1"/>
  <c r="M89" i="1"/>
  <c r="Q89" i="1"/>
  <c r="D90" i="1"/>
  <c r="F90" i="1"/>
  <c r="H90" i="1"/>
  <c r="J90" i="1"/>
  <c r="L90" i="1"/>
  <c r="N90" i="1"/>
  <c r="P90" i="1"/>
  <c r="D16" i="1"/>
  <c r="D108" i="1"/>
  <c r="L108" i="1"/>
  <c r="P108" i="1"/>
  <c r="B73" i="1"/>
  <c r="I73" i="1"/>
  <c r="F74" i="1"/>
  <c r="I80" i="1"/>
  <c r="C81" i="1"/>
  <c r="G80" i="1"/>
  <c r="J80" i="1"/>
  <c r="P81" i="1"/>
  <c r="Q21" i="1"/>
  <c r="F22" i="1"/>
  <c r="P76" i="1"/>
  <c r="C77" i="1"/>
  <c r="E77" i="1"/>
  <c r="P77" i="1"/>
  <c r="P78" i="1"/>
  <c r="H102" i="1"/>
  <c r="L102" i="1"/>
  <c r="H103" i="1"/>
  <c r="D93" i="1"/>
  <c r="P93" i="1"/>
  <c r="I92" i="1"/>
  <c r="P92" i="1"/>
  <c r="K79" i="1"/>
  <c r="I83" i="1"/>
  <c r="M83" i="1"/>
  <c r="J79" i="1"/>
  <c r="Q79" i="1"/>
  <c r="C13" i="1"/>
  <c r="F13" i="1"/>
  <c r="H13" i="1"/>
  <c r="P96" i="1"/>
  <c r="I99" i="1"/>
  <c r="Q99" i="1"/>
  <c r="L100" i="1"/>
  <c r="F34" i="1"/>
  <c r="J34" i="1"/>
  <c r="N34" i="1"/>
  <c r="J108" i="1"/>
  <c r="O108" i="1"/>
  <c r="G109" i="1"/>
  <c r="O109" i="1"/>
  <c r="B111" i="1"/>
  <c r="F108" i="1"/>
  <c r="K108" i="1"/>
  <c r="J109" i="1"/>
  <c r="C110" i="1"/>
  <c r="K110" i="1"/>
  <c r="J81" i="1"/>
  <c r="G102" i="1"/>
  <c r="O102" i="1"/>
  <c r="F83" i="1"/>
  <c r="F77" i="1"/>
  <c r="Q84" i="1"/>
  <c r="Q100" i="1" s="1"/>
  <c r="Q82" i="1"/>
  <c r="B35" i="1"/>
  <c r="B94" i="1"/>
  <c r="E32" i="1"/>
  <c r="E16" i="1"/>
  <c r="I32" i="1"/>
  <c r="I16" i="1"/>
  <c r="C108" i="1"/>
  <c r="N108" i="1"/>
  <c r="F109" i="1"/>
  <c r="N109" i="1"/>
  <c r="G110" i="1"/>
  <c r="O110" i="1"/>
  <c r="E102" i="1"/>
  <c r="M102" i="1"/>
  <c r="D111" i="1"/>
  <c r="L111" i="1"/>
  <c r="E6" i="1"/>
  <c r="E13" i="1"/>
  <c r="E12" i="1"/>
  <c r="I13" i="7"/>
  <c r="I13" i="1" s="1"/>
  <c r="I20" i="1"/>
  <c r="M13" i="7"/>
  <c r="M13" i="1" s="1"/>
  <c r="M20" i="1"/>
  <c r="N83" i="1"/>
  <c r="N77" i="1"/>
  <c r="B108" i="1"/>
  <c r="D103" i="1"/>
  <c r="L103" i="1"/>
  <c r="I84" i="1"/>
  <c r="I100" i="1" s="1"/>
  <c r="I82" i="1"/>
  <c r="F6" i="1"/>
  <c r="L12" i="1"/>
  <c r="N13" i="1"/>
  <c r="O13" i="1"/>
  <c r="B98" i="1"/>
  <c r="F97" i="1"/>
  <c r="F99" i="7"/>
  <c r="F99" i="1" s="1"/>
  <c r="J84" i="1"/>
  <c r="D33" i="1"/>
  <c r="D98" i="1"/>
  <c r="D36" i="1"/>
  <c r="D37" i="1"/>
  <c r="D35" i="1"/>
  <c r="H98" i="1"/>
  <c r="H36" i="1"/>
  <c r="H37" i="1"/>
  <c r="H35" i="1"/>
  <c r="L33" i="1"/>
  <c r="L98" i="1"/>
  <c r="L36" i="1"/>
  <c r="L37" i="1"/>
  <c r="L35" i="1"/>
  <c r="P98" i="1"/>
  <c r="P36" i="1"/>
  <c r="P37" i="1"/>
  <c r="P35" i="1"/>
  <c r="P79" i="1"/>
  <c r="C37" i="1"/>
  <c r="C12" i="1"/>
  <c r="G37" i="1"/>
  <c r="K37" i="1"/>
  <c r="K12" i="1"/>
  <c r="O37" i="1"/>
  <c r="M16" i="1"/>
  <c r="Q16" i="1"/>
  <c r="C92" i="1"/>
  <c r="G92" i="1"/>
  <c r="K92" i="1"/>
  <c r="N6" i="1"/>
  <c r="F84" i="1"/>
  <c r="F100" i="1" s="1"/>
  <c r="J100" i="1"/>
  <c r="N84" i="1"/>
  <c r="N100" i="1" s="1"/>
  <c r="E34" i="1"/>
  <c r="I34" i="1"/>
  <c r="M34" i="1"/>
  <c r="Q34" i="1"/>
  <c r="F98" i="1"/>
  <c r="F36" i="1"/>
  <c r="F37" i="1"/>
  <c r="F35" i="1"/>
  <c r="F33" i="1"/>
  <c r="J98" i="1"/>
  <c r="J36" i="1"/>
  <c r="J33" i="1"/>
  <c r="J37" i="1"/>
  <c r="J35" i="1"/>
  <c r="N98" i="1"/>
  <c r="N36" i="1"/>
  <c r="N37" i="1"/>
  <c r="N35" i="1"/>
  <c r="N33" i="1"/>
  <c r="J6" i="1"/>
  <c r="G13" i="1"/>
  <c r="B37" i="1"/>
  <c r="E35" i="1"/>
  <c r="I35" i="1"/>
  <c r="M35" i="1"/>
  <c r="Q35" i="1"/>
  <c r="C36" i="1"/>
  <c r="E37" i="1"/>
  <c r="I37" i="1"/>
  <c r="M37" i="1"/>
  <c r="Q37" i="1"/>
  <c r="B84" i="1"/>
  <c r="B100" i="1" s="1"/>
  <c r="I97" i="1"/>
  <c r="K97" i="1"/>
  <c r="M97" i="1"/>
  <c r="O97" i="1"/>
  <c r="Q97" i="1"/>
</calcChain>
</file>

<file path=xl/sharedStrings.xml><?xml version="1.0" encoding="utf-8"?>
<sst xmlns="http://schemas.openxmlformats.org/spreadsheetml/2006/main" count="351" uniqueCount="190">
  <si>
    <t>Serving Size (g)</t>
  </si>
  <si>
    <t>Calories</t>
  </si>
  <si>
    <t>Cal. From Fat</t>
  </si>
  <si>
    <t>Total Fat (g)</t>
  </si>
  <si>
    <t>Sat. Fat (g)</t>
  </si>
  <si>
    <t>Trans Fat (g)*</t>
  </si>
  <si>
    <t>Chol (mg)</t>
  </si>
  <si>
    <t>Sodium (mg)</t>
  </si>
  <si>
    <t>Carb. (g)</t>
  </si>
  <si>
    <t>Dietary Fiber (g)</t>
  </si>
  <si>
    <t>Sugars (g)</t>
  </si>
  <si>
    <t>Protein (g)</t>
  </si>
  <si>
    <t>Vitamin A% DV</t>
  </si>
  <si>
    <t>Vitamin C% DV</t>
  </si>
  <si>
    <t>Calcium % DV</t>
  </si>
  <si>
    <t>Iron % DV</t>
  </si>
  <si>
    <t>Traditional Wings</t>
  </si>
  <si>
    <t>Boneless Wings</t>
  </si>
  <si>
    <t>Fresh Tenders</t>
  </si>
  <si>
    <t>Buffalo Shrimp</t>
  </si>
  <si>
    <t>Catfish</t>
  </si>
  <si>
    <t>Sandwiches</t>
  </si>
  <si>
    <t>Wraps</t>
  </si>
  <si>
    <t>Salads</t>
  </si>
  <si>
    <t>Side Lines</t>
  </si>
  <si>
    <t>Kick-Offs</t>
  </si>
  <si>
    <t>Kids Meals</t>
  </si>
  <si>
    <t>U.S. NUTRITIONAL INFORMATION</t>
  </si>
  <si>
    <t>Cheeses</t>
  </si>
  <si>
    <t>Condiments</t>
  </si>
  <si>
    <t>Vegetables</t>
  </si>
  <si>
    <t>however slight variations may occur due to season of the year, use of alternate supplier, region of the country and/or small differences in product assembly.</t>
  </si>
  <si>
    <t>A Registered Dietitian compiled this nutrition information from the following data: Nutrition analysis from Wings To Go® approved food manufacturers, independent</t>
  </si>
  <si>
    <t>*At participating locations. Nutrition information for these items are based on the most common formulas and ingredients.</t>
  </si>
  <si>
    <t>ranges are provided in this brochure. Sodium values represent the amount of sodium from ingredients only and do not include the contribution from the water</t>
  </si>
  <si>
    <t>where beverages are dispensed.</t>
  </si>
  <si>
    <t>Sauces</t>
  </si>
  <si>
    <t>St Louis Ribs</t>
  </si>
  <si>
    <t>Desserts</t>
  </si>
  <si>
    <t>Hot Dog</t>
  </si>
  <si>
    <t>Mozzarella Sticks</t>
  </si>
  <si>
    <t>Mini Corn Dogs</t>
  </si>
  <si>
    <t>Cheese Quesadilla</t>
  </si>
  <si>
    <t>Coleslaw</t>
  </si>
  <si>
    <t>Side Salad</t>
  </si>
  <si>
    <t>Burnie's Backfire Chili</t>
  </si>
  <si>
    <t>Steak Cut Onion Rings</t>
  </si>
  <si>
    <t>French Fries Regular</t>
  </si>
  <si>
    <t>French Fries Large</t>
  </si>
  <si>
    <t>Cheese Fries Regular</t>
  </si>
  <si>
    <t>Cheese Fries Large</t>
  </si>
  <si>
    <t>Garden Salad</t>
  </si>
  <si>
    <t>Garden Salad with Chicken</t>
  </si>
  <si>
    <t>Garden Salad with Shrimp</t>
  </si>
  <si>
    <t>Buffalo Chicken Salad</t>
  </si>
  <si>
    <t>Chicken Caesar Salad</t>
  </si>
  <si>
    <t>5 pc Boneless Wings</t>
  </si>
  <si>
    <t>5 pc Traditional Wings</t>
  </si>
  <si>
    <t>Mild Sauce</t>
  </si>
  <si>
    <t>Hot Sauce</t>
  </si>
  <si>
    <t>X-Hot Sauce</t>
  </si>
  <si>
    <t>Suicide Sauce</t>
  </si>
  <si>
    <r>
      <t>Homicide</t>
    </r>
    <r>
      <rPr>
        <sz val="10"/>
        <rFont val="Arial"/>
      </rPr>
      <t>®</t>
    </r>
    <r>
      <rPr>
        <sz val="10"/>
        <rFont val="Times New Roman"/>
      </rPr>
      <t xml:space="preserve"> Sauce</t>
    </r>
  </si>
  <si>
    <t>Honey Mustard Sauce</t>
  </si>
  <si>
    <t>Cajun Sauce</t>
  </si>
  <si>
    <t>Chesapeake Bay Sauce</t>
  </si>
  <si>
    <t>Buffalo Garlic Sauce</t>
  </si>
  <si>
    <t>Golden Garlic Sauce</t>
  </si>
  <si>
    <t>Garlic Parmesan Sauce</t>
  </si>
  <si>
    <t>Lemon Pepper Sauce</t>
  </si>
  <si>
    <t>Caribbean Jerk Sauce</t>
  </si>
  <si>
    <t>Half Rack</t>
  </si>
  <si>
    <t>Full Rack</t>
  </si>
  <si>
    <t>5 pc Buffalo Shrimp</t>
  </si>
  <si>
    <r>
      <t>Xango</t>
    </r>
    <r>
      <rPr>
        <sz val="10"/>
        <rFont val="Arial"/>
      </rPr>
      <t>™</t>
    </r>
    <r>
      <rPr>
        <sz val="10"/>
        <rFont val="Times New Roman"/>
      </rPr>
      <t xml:space="preserve"> Fried Cheesecake</t>
    </r>
  </si>
  <si>
    <t>Beverages</t>
  </si>
  <si>
    <t>2 Fresh Tenders, Fries, &amp; Fountain Drink</t>
  </si>
  <si>
    <t>Hot Dog, Fries, &amp; Fountain Drink</t>
  </si>
  <si>
    <t>Cheese Quesadilla, Fries, Fountain Drink</t>
  </si>
  <si>
    <t>5 Mini Corn Dogs, Fries, &amp; Drink</t>
  </si>
  <si>
    <t>Coca-Cola 20oz</t>
  </si>
  <si>
    <t>Diet Coke 20oz</t>
  </si>
  <si>
    <t>Sprite 20oz</t>
  </si>
  <si>
    <t>Cherry Coke 20oz</t>
  </si>
  <si>
    <t>Pink Lemonade 20oz</t>
  </si>
  <si>
    <t>American Cheese Slice</t>
  </si>
  <si>
    <t>Cheddar Jack Cheese Shredded</t>
  </si>
  <si>
    <t>Salsa</t>
  </si>
  <si>
    <t>Sour Cream</t>
  </si>
  <si>
    <t>Jalapeno Peppers</t>
  </si>
  <si>
    <t>Pickles Chips</t>
  </si>
  <si>
    <t>Blue Cheese Dressing</t>
  </si>
  <si>
    <t>Ranch Dressing</t>
  </si>
  <si>
    <t>Italian Dressing</t>
  </si>
  <si>
    <t>Caesar Dressing</t>
  </si>
  <si>
    <t>Thousand Island Dressing</t>
  </si>
  <si>
    <t xml:space="preserve">Lettuce </t>
  </si>
  <si>
    <t>Tomatoes</t>
  </si>
  <si>
    <t>Cucumbers</t>
  </si>
  <si>
    <t>Parmesan Cheese</t>
  </si>
  <si>
    <t>Bacon</t>
  </si>
  <si>
    <t>Celery</t>
  </si>
  <si>
    <t>Marinara Sauce</t>
  </si>
  <si>
    <t>Onions</t>
  </si>
  <si>
    <t>Cocktail Sauce</t>
  </si>
  <si>
    <t>10pc Buffalo Shrimp</t>
  </si>
  <si>
    <t>Hush Puppies</t>
  </si>
  <si>
    <r>
      <t>Xango</t>
    </r>
    <r>
      <rPr>
        <sz val="10"/>
        <rFont val="Arial"/>
      </rPr>
      <t>™</t>
    </r>
    <r>
      <rPr>
        <sz val="10"/>
        <rFont val="Times New Roman"/>
      </rPr>
      <t xml:space="preserve"> Fried Cheesecake</t>
    </r>
  </si>
  <si>
    <t>Steak Quesadilla</t>
  </si>
  <si>
    <t>Buffalo-Style Chicken Sandwich</t>
  </si>
  <si>
    <t>Chicken BLT</t>
  </si>
  <si>
    <t>Chicken Parmesan Sandwich</t>
  </si>
  <si>
    <t>Catfish Sandwich</t>
  </si>
  <si>
    <t>Chicken Cheese Steak</t>
  </si>
  <si>
    <t>Cheese Steak</t>
  </si>
  <si>
    <t>Golden Tender Wrap</t>
  </si>
  <si>
    <t>Buffalo-Style Chicken Wrap</t>
  </si>
  <si>
    <t>Chicken BLT Wrap</t>
  </si>
  <si>
    <t>Chicken Caesar Wrap</t>
  </si>
  <si>
    <t>Shrimp Wrap</t>
  </si>
  <si>
    <t>Veggie Wrap</t>
  </si>
  <si>
    <t>Cheese Sauce</t>
  </si>
  <si>
    <t>Coca-Cola 8oz</t>
  </si>
  <si>
    <t>Diet Coke 8oz</t>
  </si>
  <si>
    <t>Cherry Coke 8oz</t>
  </si>
  <si>
    <t>Sprite 8oz</t>
  </si>
  <si>
    <t>Pink Lemonade 8oz</t>
  </si>
  <si>
    <t>2 pc Catfish, Hushpuppies, Fries, Coleslaw</t>
  </si>
  <si>
    <t>4 pc Catfish, Hushpuppies, Fries, Coleslaw</t>
  </si>
  <si>
    <t>Roll 9"</t>
  </si>
  <si>
    <t>Ciabatta Roll</t>
  </si>
  <si>
    <t>Golden Tender Sandwich (6" Roll)</t>
  </si>
  <si>
    <r>
      <t>Wings To Go</t>
    </r>
    <r>
      <rPr>
        <sz val="14"/>
        <color indexed="8"/>
        <rFont val="Times New Roman"/>
        <family val="1"/>
      </rPr>
      <t>®</t>
    </r>
  </si>
  <si>
    <t>***Nutrition information for fountain beverages do not include ice and is based on full cup size. Due to large variety of possible fountain beverage offerings nutrition</t>
  </si>
  <si>
    <t>Buffalo Chicken Quesadilla</t>
  </si>
  <si>
    <t>Kaiser Roll</t>
  </si>
  <si>
    <t>Full Rack with Fries &amp; Coleslaw</t>
  </si>
  <si>
    <t>Half Rack with Fries &amp; Coleslaw</t>
  </si>
  <si>
    <t>Fiesta Chicken Salad</t>
  </si>
  <si>
    <t>Buffalo Bleu Burger</t>
  </si>
  <si>
    <t>Mini Wrap</t>
  </si>
  <si>
    <t>Chicken Breast Sandwich</t>
  </si>
  <si>
    <t>**Boneless and Traditional Wings do not include sauce, dressing, or celery. Take these items into consideration when calculating your calorie intake. All breaded items contain gluten.</t>
  </si>
  <si>
    <t xml:space="preserve">Recommended limits for a 2,000 calorie a day diet are 20 g saturated fat and 2300 mg sodium. A 2,000 calorie a day diet is used for the basis of general nutritional advice; however individual need may vary. </t>
  </si>
  <si>
    <t>Teriyaki Sauce (Contains Gluten)</t>
  </si>
  <si>
    <t>Mayonnaise</t>
  </si>
  <si>
    <t>Provolone Cheese Slice</t>
  </si>
  <si>
    <t>laboratories and the USDA Nutrient Database for Standard Reference. The nutrition information listed here is based on standard recipes and product formulations,</t>
  </si>
  <si>
    <t>Bacon Cheese Burger</t>
  </si>
  <si>
    <r>
      <t>Wings To Go</t>
    </r>
    <r>
      <rPr>
        <sz val="14"/>
        <color indexed="10"/>
        <rFont val="Times New Roman"/>
        <family val="1"/>
      </rPr>
      <t>®</t>
    </r>
  </si>
  <si>
    <t>8 pc Boneless Wings</t>
  </si>
  <si>
    <t>8 pc Traditional Wings</t>
  </si>
  <si>
    <t>12 pc Traditional Wings</t>
  </si>
  <si>
    <t>12 pc Boneless Wings</t>
  </si>
  <si>
    <t>Fried Pickles</t>
  </si>
  <si>
    <t>Fuse Ice Tea 8oz</t>
  </si>
  <si>
    <t>Fuse Ice Tea 20oz</t>
  </si>
  <si>
    <t>Breader</t>
  </si>
  <si>
    <t>5 pc Fresh Tenders (Grilled)</t>
  </si>
  <si>
    <t>3 pc Fresh Tenders (Grilled)</t>
  </si>
  <si>
    <t>3 pc Fresh Tenders (Breaded)</t>
  </si>
  <si>
    <t>5 pc Fresh Tenders (Breaded)</t>
  </si>
  <si>
    <r>
      <t>Garbage Nachos</t>
    </r>
    <r>
      <rPr>
        <sz val="10"/>
        <rFont val="Times New Roman"/>
        <family val="1"/>
      </rPr>
      <t>™</t>
    </r>
  </si>
  <si>
    <r>
      <t>Garbage Fries</t>
    </r>
    <r>
      <rPr>
        <sz val="10"/>
        <rFont val="Times New Roman"/>
        <family val="1"/>
      </rPr>
      <t>™</t>
    </r>
  </si>
  <si>
    <r>
      <t>Asian Fusion</t>
    </r>
    <r>
      <rPr>
        <sz val="10"/>
        <rFont val="Times New Roman"/>
        <family val="1"/>
      </rPr>
      <t>™</t>
    </r>
    <r>
      <rPr>
        <sz val="10"/>
        <rFont val="Times New Roman"/>
      </rPr>
      <t xml:space="preserve"> Sauce (Contains Gluten)</t>
    </r>
  </si>
  <si>
    <t>Golden Tender Wrap (10" Tortilla)</t>
  </si>
  <si>
    <r>
      <t>Asian Fusion</t>
    </r>
    <r>
      <rPr>
        <sz val="10"/>
        <rFont val="Times New Roman"/>
        <family val="1"/>
      </rPr>
      <t>™</t>
    </r>
    <r>
      <rPr>
        <sz val="10"/>
        <rFont val="Times New Roman"/>
      </rPr>
      <t xml:space="preserve"> Sauce (Contains Gluten)</t>
    </r>
  </si>
  <si>
    <t>Black Beans</t>
  </si>
  <si>
    <t>Corn</t>
  </si>
  <si>
    <t>Fiesta Wrap</t>
  </si>
  <si>
    <t>Fajita Wrap</t>
  </si>
  <si>
    <t>Garlic Parm Sticks</t>
  </si>
  <si>
    <t>Brownie and Ice Cream</t>
  </si>
  <si>
    <t>Brownie Ice Cream</t>
  </si>
  <si>
    <t>Ice Cream Vanilla</t>
  </si>
  <si>
    <r>
      <t>Barb-B-Cide</t>
    </r>
    <r>
      <rPr>
        <sz val="10"/>
        <rFont val="Arial"/>
      </rPr>
      <t>®</t>
    </r>
    <r>
      <rPr>
        <sz val="10"/>
        <rFont val="Times New Roman"/>
      </rPr>
      <t xml:space="preserve"> Sauce (Contains Gluten)</t>
    </r>
  </si>
  <si>
    <t>Honey BBQ Sauce (Contains Gluten)</t>
  </si>
  <si>
    <t>Sweet N Sour Sauce (Contains Gluten)</t>
  </si>
  <si>
    <t>Tortilla Chips &amp; Salsa</t>
  </si>
  <si>
    <t>Tortilla Chips &amp; Cheese</t>
  </si>
  <si>
    <t>Quesadillas</t>
  </si>
  <si>
    <t>BBQ Chicken Quesadilla</t>
  </si>
  <si>
    <t>Fiesta Chicken Quesadilla</t>
  </si>
  <si>
    <t>UPDATED APRIL 2014</t>
  </si>
  <si>
    <t>Waffle Fries Regular</t>
  </si>
  <si>
    <t>Waffle Fries Large</t>
  </si>
  <si>
    <t>Sweet Potato Fries Regular</t>
  </si>
  <si>
    <t>Sweet Potato Fries Large</t>
  </si>
  <si>
    <t>Jalapeno Cheddar Poppers</t>
  </si>
  <si>
    <t>UPDATED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</si>
</sst>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Times New Roman"/>
    </font>
    <font>
      <sz val="10"/>
      <name val="Times New Roman"/>
    </font>
    <font>
      <b/>
      <sz val="10"/>
      <name val="Times New Roman"/>
      <family val="1"/>
    </font>
    <font>
      <sz val="8"/>
      <name val="Times New Roman"/>
    </font>
    <font>
      <b/>
      <sz val="16"/>
      <color indexed="9"/>
      <name val="Times New Roman"/>
      <family val="1"/>
    </font>
    <font>
      <sz val="16"/>
      <name val="Cooper Black"/>
      <family val="1"/>
    </font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Arial"/>
    </font>
    <font>
      <sz val="24"/>
      <color indexed="8"/>
      <name val="Cooper Black"/>
      <family val="1"/>
    </font>
    <font>
      <sz val="14"/>
      <color indexed="8"/>
      <name val="Times New Roman"/>
      <family val="1"/>
    </font>
    <font>
      <sz val="24"/>
      <color indexed="10"/>
      <name val="Cooper Black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Cooper Black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1" xfId="0" applyFont="1" applyFill="1" applyBorder="1"/>
    <xf numFmtId="0" fontId="2" fillId="0" borderId="2" xfId="0" applyFont="1" applyBorder="1" applyAlignment="1">
      <alignment textRotation="90"/>
    </xf>
    <xf numFmtId="0" fontId="2" fillId="3" borderId="2" xfId="0" applyFont="1" applyFill="1" applyBorder="1" applyAlignment="1">
      <alignment textRotation="90"/>
    </xf>
    <xf numFmtId="0" fontId="7" fillId="0" borderId="0" xfId="0" applyFont="1"/>
    <xf numFmtId="0" fontId="7" fillId="0" borderId="2" xfId="0" applyFont="1" applyBorder="1" applyAlignment="1">
      <alignment wrapText="1"/>
    </xf>
    <xf numFmtId="0" fontId="6" fillId="0" borderId="0" xfId="0" applyFont="1"/>
    <xf numFmtId="0" fontId="8" fillId="0" borderId="0" xfId="0" applyFont="1"/>
    <xf numFmtId="0" fontId="8" fillId="0" borderId="2" xfId="0" applyFont="1" applyBorder="1"/>
    <xf numFmtId="0" fontId="5" fillId="2" borderId="3" xfId="0" applyFont="1" applyFill="1" applyBorder="1"/>
    <xf numFmtId="0" fontId="8" fillId="0" borderId="3" xfId="0" applyFont="1" applyBorder="1"/>
    <xf numFmtId="0" fontId="8" fillId="0" borderId="0" xfId="0" applyFont="1" applyFill="1"/>
    <xf numFmtId="0" fontId="1" fillId="2" borderId="1" xfId="0" applyFont="1" applyFill="1" applyBorder="1"/>
    <xf numFmtId="0" fontId="1" fillId="2" borderId="4" xfId="0" applyFont="1" applyFill="1" applyBorder="1"/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3" borderId="2" xfId="0" applyFont="1" applyFill="1" applyBorder="1"/>
    <xf numFmtId="0" fontId="1" fillId="0" borderId="3" xfId="0" applyFont="1" applyBorder="1"/>
    <xf numFmtId="0" fontId="1" fillId="0" borderId="0" xfId="0" applyFont="1" applyFill="1"/>
    <xf numFmtId="0" fontId="8" fillId="0" borderId="2" xfId="0" applyFont="1" applyFill="1" applyBorder="1"/>
    <xf numFmtId="0" fontId="1" fillId="0" borderId="2" xfId="0" applyFont="1" applyFill="1" applyBorder="1"/>
    <xf numFmtId="0" fontId="1" fillId="3" borderId="2" xfId="0" applyFont="1" applyFill="1" applyBorder="1" applyProtection="1"/>
    <xf numFmtId="0" fontId="1" fillId="4" borderId="2" xfId="0" applyFont="1" applyFill="1" applyBorder="1" applyProtection="1">
      <protection locked="0"/>
    </xf>
    <xf numFmtId="1" fontId="8" fillId="0" borderId="2" xfId="0" applyNumberFormat="1" applyFont="1" applyBorder="1"/>
    <xf numFmtId="1" fontId="8" fillId="3" borderId="2" xfId="0" applyNumberFormat="1" applyFont="1" applyFill="1" applyBorder="1"/>
    <xf numFmtId="0" fontId="10" fillId="2" borderId="3" xfId="0" applyFont="1" applyFill="1" applyBorder="1" applyAlignment="1">
      <alignment horizontal="center"/>
    </xf>
    <xf numFmtId="0" fontId="1" fillId="3" borderId="2" xfId="0" applyFont="1" applyFill="1" applyBorder="1" applyProtection="1">
      <protection locked="0"/>
    </xf>
    <xf numFmtId="1" fontId="8" fillId="3" borderId="4" xfId="0" applyNumberFormat="1" applyFont="1" applyFill="1" applyBorder="1"/>
    <xf numFmtId="0" fontId="1" fillId="3" borderId="4" xfId="0" applyFont="1" applyFill="1" applyBorder="1"/>
    <xf numFmtId="0" fontId="7" fillId="4" borderId="1" xfId="0" applyFont="1" applyFill="1" applyBorder="1"/>
    <xf numFmtId="0" fontId="7" fillId="4" borderId="4" xfId="0" applyFont="1" applyFill="1" applyBorder="1"/>
    <xf numFmtId="0" fontId="8" fillId="4" borderId="1" xfId="0" applyFont="1" applyFill="1" applyBorder="1"/>
    <xf numFmtId="0" fontId="8" fillId="4" borderId="4" xfId="0" applyFont="1" applyFill="1" applyBorder="1"/>
    <xf numFmtId="0" fontId="12" fillId="4" borderId="3" xfId="0" applyFont="1" applyFill="1" applyBorder="1" applyAlignment="1">
      <alignment horizontal="center"/>
    </xf>
    <xf numFmtId="0" fontId="14" fillId="4" borderId="1" xfId="0" applyFont="1" applyFill="1" applyBorder="1"/>
    <xf numFmtId="0" fontId="15" fillId="4" borderId="3" xfId="0" applyFont="1" applyFill="1" applyBorder="1"/>
    <xf numFmtId="0" fontId="1" fillId="3" borderId="2" xfId="0" applyFont="1" applyFill="1" applyBorder="1" applyProtection="1">
      <protection hidden="1"/>
    </xf>
    <xf numFmtId="0" fontId="0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0"/>
  <sheetViews>
    <sheetView showGridLines="0" showRowColHeaders="0" tabSelected="1" view="pageBreakPreview" zoomScaleNormal="100" zoomScaleSheetLayoutView="100" workbookViewId="0">
      <selection activeCell="T5" sqref="T5"/>
    </sheetView>
  </sheetViews>
  <sheetFormatPr defaultColWidth="9.33203125" defaultRowHeight="13.2" x14ac:dyDescent="0.25"/>
  <cols>
    <col min="1" max="1" width="39.77734375" style="7" customWidth="1"/>
    <col min="2" max="2" width="6.77734375" style="7" customWidth="1"/>
    <col min="3" max="3" width="6.77734375" style="11" customWidth="1"/>
    <col min="4" max="4" width="6.77734375" style="7" customWidth="1"/>
    <col min="5" max="5" width="6.77734375" style="11" customWidth="1"/>
    <col min="6" max="6" width="6.77734375" style="7" customWidth="1"/>
    <col min="7" max="7" width="6.77734375" style="11" customWidth="1"/>
    <col min="8" max="8" width="6.77734375" style="7" customWidth="1"/>
    <col min="9" max="9" width="6.77734375" style="11" customWidth="1"/>
    <col min="10" max="10" width="6.77734375" style="7" customWidth="1"/>
    <col min="11" max="11" width="6.77734375" style="11" customWidth="1"/>
    <col min="12" max="12" width="6.77734375" style="7" customWidth="1"/>
    <col min="13" max="13" width="6.77734375" style="11" customWidth="1"/>
    <col min="14" max="14" width="6.77734375" style="7" customWidth="1"/>
    <col min="15" max="15" width="6.77734375" style="11" customWidth="1"/>
    <col min="16" max="16" width="6.77734375" style="7" customWidth="1"/>
    <col min="17" max="17" width="6.77734375" style="11" customWidth="1"/>
    <col min="18" max="16384" width="9.33203125" style="7"/>
  </cols>
  <sheetData>
    <row r="1" spans="1:17" s="4" customFormat="1" ht="30" x14ac:dyDescent="0.5">
      <c r="A1" s="34" t="s">
        <v>149</v>
      </c>
      <c r="B1" s="35" t="s">
        <v>27</v>
      </c>
      <c r="C1" s="35"/>
      <c r="D1" s="30"/>
      <c r="E1" s="30"/>
      <c r="F1" s="30"/>
      <c r="G1" s="30"/>
      <c r="H1" s="30"/>
      <c r="I1" s="30"/>
      <c r="J1" s="30"/>
      <c r="K1" s="35" t="s">
        <v>189</v>
      </c>
      <c r="L1" s="35"/>
      <c r="M1" s="30"/>
      <c r="N1" s="30"/>
      <c r="O1" s="30"/>
      <c r="P1" s="30"/>
      <c r="Q1" s="31"/>
    </row>
    <row r="2" spans="1:17" s="6" customFormat="1" ht="82.2" x14ac:dyDescent="0.25">
      <c r="A2" s="5" t="s">
        <v>143</v>
      </c>
      <c r="B2" s="2" t="s">
        <v>0</v>
      </c>
      <c r="C2" s="3" t="s">
        <v>1</v>
      </c>
      <c r="D2" s="2" t="s">
        <v>2</v>
      </c>
      <c r="E2" s="3" t="s">
        <v>3</v>
      </c>
      <c r="F2" s="2" t="s">
        <v>4</v>
      </c>
      <c r="G2" s="3" t="s">
        <v>5</v>
      </c>
      <c r="H2" s="2" t="s">
        <v>6</v>
      </c>
      <c r="I2" s="3" t="s">
        <v>7</v>
      </c>
      <c r="J2" s="2" t="s">
        <v>8</v>
      </c>
      <c r="K2" s="3" t="s">
        <v>9</v>
      </c>
      <c r="L2" s="2" t="s">
        <v>10</v>
      </c>
      <c r="M2" s="3" t="s">
        <v>11</v>
      </c>
      <c r="N2" s="2" t="s">
        <v>12</v>
      </c>
      <c r="O2" s="3" t="s">
        <v>13</v>
      </c>
      <c r="P2" s="2" t="s">
        <v>14</v>
      </c>
      <c r="Q2" s="3" t="s">
        <v>15</v>
      </c>
    </row>
    <row r="3" spans="1:17" ht="20.399999999999999" x14ac:dyDescent="0.35">
      <c r="A3" s="36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</row>
    <row r="4" spans="1:17" x14ac:dyDescent="0.25">
      <c r="A4" s="8" t="s">
        <v>39</v>
      </c>
      <c r="B4" s="24">
        <f>SUM('Label Serving Size'!B4)</f>
        <v>75</v>
      </c>
      <c r="C4" s="25">
        <f>SUM('Label Serving Size'!C4)</f>
        <v>210</v>
      </c>
      <c r="D4" s="24">
        <f>SUM('Label Serving Size'!D4)</f>
        <v>170</v>
      </c>
      <c r="E4" s="25">
        <f>SUM('Label Serving Size'!E4)</f>
        <v>19</v>
      </c>
      <c r="F4" s="24">
        <f>SUM('Label Serving Size'!F4)</f>
        <v>8</v>
      </c>
      <c r="G4" s="25">
        <f>SUM('Label Serving Size'!G4)</f>
        <v>0.5</v>
      </c>
      <c r="H4" s="24">
        <f>SUM('Label Serving Size'!H4)</f>
        <v>40</v>
      </c>
      <c r="I4" s="25">
        <f>SUM('Label Serving Size'!I4)</f>
        <v>690</v>
      </c>
      <c r="J4" s="24">
        <f>SUM('Label Serving Size'!J4)</f>
        <v>0</v>
      </c>
      <c r="K4" s="25">
        <f>SUM('Label Serving Size'!K4)</f>
        <v>0</v>
      </c>
      <c r="L4" s="24">
        <f>SUM('Label Serving Size'!L4)</f>
        <v>0</v>
      </c>
      <c r="M4" s="25">
        <f>SUM('Label Serving Size'!M4)</f>
        <v>8</v>
      </c>
      <c r="N4" s="24">
        <f>SUM('Label Serving Size'!N4)</f>
        <v>2</v>
      </c>
      <c r="O4" s="25">
        <f>SUM('Label Serving Size'!O4)</f>
        <v>0</v>
      </c>
      <c r="P4" s="24">
        <f>SUM('Label Serving Size'!P4)</f>
        <v>0</v>
      </c>
      <c r="Q4" s="25">
        <f>SUM('Label Serving Size'!Q4)</f>
        <v>8</v>
      </c>
    </row>
    <row r="5" spans="1:17" x14ac:dyDescent="0.25">
      <c r="A5" s="10" t="s">
        <v>40</v>
      </c>
      <c r="B5" s="24">
        <f>SUM('Label Serving Size'!B5)</f>
        <v>85</v>
      </c>
      <c r="C5" s="25">
        <f>SUM('Label Serving Size'!C5)</f>
        <v>220</v>
      </c>
      <c r="D5" s="24">
        <f>SUM('Label Serving Size'!D5)</f>
        <v>80</v>
      </c>
      <c r="E5" s="25">
        <f>SUM('Label Serving Size'!E5)</f>
        <v>9</v>
      </c>
      <c r="F5" s="24">
        <f>SUM('Label Serving Size'!F5)</f>
        <v>5</v>
      </c>
      <c r="G5" s="25">
        <f>SUM('Label Serving Size'!G5)</f>
        <v>0</v>
      </c>
      <c r="H5" s="24">
        <f>SUM('Label Serving Size'!H5)</f>
        <v>30</v>
      </c>
      <c r="I5" s="25">
        <f>SUM('Label Serving Size'!I5)</f>
        <v>900</v>
      </c>
      <c r="J5" s="24">
        <f>SUM('Label Serving Size'!J5)</f>
        <v>22</v>
      </c>
      <c r="K5" s="25">
        <f>SUM('Label Serving Size'!K5)</f>
        <v>0</v>
      </c>
      <c r="L5" s="24">
        <f>SUM('Label Serving Size'!L5)</f>
        <v>2</v>
      </c>
      <c r="M5" s="25">
        <f>SUM('Label Serving Size'!M5)</f>
        <v>14</v>
      </c>
      <c r="N5" s="24">
        <f>SUM('Label Serving Size'!N5)</f>
        <v>6</v>
      </c>
      <c r="O5" s="25">
        <f>SUM('Label Serving Size'!O5)</f>
        <v>0</v>
      </c>
      <c r="P5" s="24">
        <f>SUM('Label Serving Size'!P5)</f>
        <v>30</v>
      </c>
      <c r="Q5" s="25">
        <f>SUM('Label Serving Size'!Q5)</f>
        <v>2</v>
      </c>
    </row>
    <row r="6" spans="1:17" x14ac:dyDescent="0.25">
      <c r="A6" s="10" t="s">
        <v>171</v>
      </c>
      <c r="B6" s="24">
        <f>SUM('Label Serving Size'!B6+B62+B138)</f>
        <v>150</v>
      </c>
      <c r="C6" s="25">
        <f>SUM('Label Serving Size'!C6+C62+C138)</f>
        <v>720</v>
      </c>
      <c r="D6" s="24">
        <f>SUM('Label Serving Size'!D6+D62+D138)</f>
        <v>535</v>
      </c>
      <c r="E6" s="25">
        <f>SUM('Label Serving Size'!E6+E62+E138)</f>
        <v>60.5</v>
      </c>
      <c r="F6" s="24">
        <f>SUM('Label Serving Size'!F6+F62+F138)</f>
        <v>16</v>
      </c>
      <c r="G6" s="25">
        <f>SUM('Label Serving Size'!G6+G62+G138)</f>
        <v>9</v>
      </c>
      <c r="H6" s="24">
        <f>SUM('Label Serving Size'!H6+H62+H138)</f>
        <v>35</v>
      </c>
      <c r="I6" s="25">
        <f>SUM('Label Serving Size'!I6+I62+I138)</f>
        <v>1505</v>
      </c>
      <c r="J6" s="24">
        <f>SUM('Label Serving Size'!J6+J62+J138)</f>
        <v>28</v>
      </c>
      <c r="K6" s="25">
        <f>SUM('Label Serving Size'!K6+K62+K138)</f>
        <v>0</v>
      </c>
      <c r="L6" s="24">
        <f>SUM('Label Serving Size'!L6+L62+L138)</f>
        <v>4</v>
      </c>
      <c r="M6" s="25">
        <f>SUM('Label Serving Size'!M6+M62+M138)</f>
        <v>18</v>
      </c>
      <c r="N6" s="24">
        <f>SUM('Label Serving Size'!N6+N62+N138)</f>
        <v>22</v>
      </c>
      <c r="O6" s="25">
        <f>SUM('Label Serving Size'!O6+O62+O138)</f>
        <v>4</v>
      </c>
      <c r="P6" s="24">
        <f>SUM('Label Serving Size'!P6+P62+P138)</f>
        <v>36</v>
      </c>
      <c r="Q6" s="25">
        <f>SUM('Label Serving Size'!Q6+Q62+Q138)</f>
        <v>6</v>
      </c>
    </row>
    <row r="7" spans="1:17" x14ac:dyDescent="0.25">
      <c r="A7" s="38" t="s">
        <v>188</v>
      </c>
      <c r="B7" s="24">
        <f>SUM('Label Serving Size'!B7*2.5)</f>
        <v>210</v>
      </c>
      <c r="C7" s="25">
        <f>SUM('Label Serving Size'!C7*2.5)</f>
        <v>275</v>
      </c>
      <c r="D7" s="24">
        <f>SUM('Label Serving Size'!D7*2.5)</f>
        <v>75</v>
      </c>
      <c r="E7" s="25">
        <f>SUM('Label Serving Size'!E7*2.5)</f>
        <v>8.75</v>
      </c>
      <c r="F7" s="24">
        <f>SUM('Label Serving Size'!F7*2.5)</f>
        <v>3.75</v>
      </c>
      <c r="G7" s="25">
        <f>SUM('Label Serving Size'!G7*2.5)</f>
        <v>0</v>
      </c>
      <c r="H7" s="24">
        <f>SUM('Label Serving Size'!H7*2.5)</f>
        <v>25</v>
      </c>
      <c r="I7" s="25">
        <f>SUM('Label Serving Size'!I7*2.5)</f>
        <v>1450</v>
      </c>
      <c r="J7" s="24">
        <f>SUM('Label Serving Size'!J7*2.5)</f>
        <v>37.5</v>
      </c>
      <c r="K7" s="25">
        <f>SUM('Label Serving Size'!K7*2.5)</f>
        <v>2.5</v>
      </c>
      <c r="L7" s="24">
        <f>SUM('Label Serving Size'!L7*2.5)</f>
        <v>2.5</v>
      </c>
      <c r="M7" s="25">
        <f>SUM('Label Serving Size'!M7*2.5)</f>
        <v>10</v>
      </c>
      <c r="N7" s="24">
        <f>SUM('Label Serving Size'!N7*2.5)</f>
        <v>15</v>
      </c>
      <c r="O7" s="25">
        <f>SUM('Label Serving Size'!O7*2.5)</f>
        <v>10</v>
      </c>
      <c r="P7" s="24">
        <f>SUM('Label Serving Size'!P7*2.5)</f>
        <v>20</v>
      </c>
      <c r="Q7" s="25">
        <f>SUM('Label Serving Size'!Q7*2.5)</f>
        <v>10</v>
      </c>
    </row>
    <row r="8" spans="1:17" x14ac:dyDescent="0.25">
      <c r="A8" s="10" t="s">
        <v>154</v>
      </c>
      <c r="B8" s="24">
        <f>SUM('Label Serving Size'!B8*2.5)</f>
        <v>80</v>
      </c>
      <c r="C8" s="25">
        <f>SUM('Label Serving Size'!C8*2.5)</f>
        <v>200</v>
      </c>
      <c r="D8" s="24">
        <f>SUM('Label Serving Size'!D8*2.5)</f>
        <v>87.5</v>
      </c>
      <c r="E8" s="25">
        <f>SUM('Label Serving Size'!E8*2.5)</f>
        <v>10</v>
      </c>
      <c r="F8" s="24">
        <f>SUM('Label Serving Size'!F8*2.5)</f>
        <v>1.25</v>
      </c>
      <c r="G8" s="25">
        <f>SUM('Label Serving Size'!G8*2.5)</f>
        <v>0</v>
      </c>
      <c r="H8" s="24">
        <f>SUM('Label Serving Size'!H8*2.5)</f>
        <v>0</v>
      </c>
      <c r="I8" s="25">
        <f>SUM('Label Serving Size'!I8*2.5)</f>
        <v>475</v>
      </c>
      <c r="J8" s="24">
        <f>SUM('Label Serving Size'!J8*2.5)</f>
        <v>22.5</v>
      </c>
      <c r="K8" s="25">
        <f>SUM('Label Serving Size'!K8*2.5)</f>
        <v>0</v>
      </c>
      <c r="L8" s="24">
        <f>SUM('Label Serving Size'!L8*2.5)</f>
        <v>2.5</v>
      </c>
      <c r="M8" s="25">
        <f>SUM('Label Serving Size'!M8*2.5)</f>
        <v>2.5</v>
      </c>
      <c r="N8" s="24">
        <f>SUM('Label Serving Size'!N8*2.5)</f>
        <v>0</v>
      </c>
      <c r="O8" s="25">
        <f>SUM('Label Serving Size'!O8*2.5)</f>
        <v>0</v>
      </c>
      <c r="P8" s="24">
        <f>SUM('Label Serving Size'!P8*2.5)</f>
        <v>0</v>
      </c>
      <c r="Q8" s="25">
        <f>SUM('Label Serving Size'!Q8*2.5)</f>
        <v>0</v>
      </c>
    </row>
    <row r="9" spans="1:17" x14ac:dyDescent="0.25">
      <c r="A9" s="10" t="s">
        <v>41</v>
      </c>
      <c r="B9" s="24">
        <f>SUM('Label Serving Size'!B9)</f>
        <v>79</v>
      </c>
      <c r="C9" s="25">
        <f>SUM('Label Serving Size'!C9)</f>
        <v>230</v>
      </c>
      <c r="D9" s="24">
        <f>SUM('Label Serving Size'!D9)</f>
        <v>120</v>
      </c>
      <c r="E9" s="25">
        <f>SUM('Label Serving Size'!E9)</f>
        <v>13</v>
      </c>
      <c r="F9" s="24">
        <f>SUM('Label Serving Size'!F9)</f>
        <v>3.5</v>
      </c>
      <c r="G9" s="25">
        <f>SUM('Label Serving Size'!G9)</f>
        <v>0</v>
      </c>
      <c r="H9" s="24">
        <f>SUM('Label Serving Size'!H9)</f>
        <v>25</v>
      </c>
      <c r="I9" s="25">
        <f>SUM('Label Serving Size'!I9)</f>
        <v>540</v>
      </c>
      <c r="J9" s="24">
        <f>SUM('Label Serving Size'!J9)</f>
        <v>24</v>
      </c>
      <c r="K9" s="25">
        <f>SUM('Label Serving Size'!K9)</f>
        <v>0</v>
      </c>
      <c r="L9" s="24">
        <f>SUM('Label Serving Size'!L9)</f>
        <v>6</v>
      </c>
      <c r="M9" s="25">
        <f>SUM('Label Serving Size'!M9)</f>
        <v>5</v>
      </c>
      <c r="N9" s="24">
        <f>SUM('Label Serving Size'!N9)</f>
        <v>0</v>
      </c>
      <c r="O9" s="25">
        <f>SUM('Label Serving Size'!O9)</f>
        <v>0</v>
      </c>
      <c r="P9" s="24">
        <f>SUM('Label Serving Size'!P9)</f>
        <v>2</v>
      </c>
      <c r="Q9" s="25">
        <f>SUM('Label Serving Size'!Q9)</f>
        <v>4</v>
      </c>
    </row>
    <row r="10" spans="1:17" x14ac:dyDescent="0.25">
      <c r="A10" s="10" t="s">
        <v>178</v>
      </c>
      <c r="B10" s="24">
        <f>SUM('Label Serving Size'!B10*2+B124*2)</f>
        <v>126</v>
      </c>
      <c r="C10" s="25">
        <f>SUM('Label Serving Size'!C10*2+C124*2)</f>
        <v>210</v>
      </c>
      <c r="D10" s="24">
        <f>SUM('Label Serving Size'!D10*2+D124*2)</f>
        <v>20</v>
      </c>
      <c r="E10" s="25">
        <f>SUM('Label Serving Size'!E10*2+E124*2)</f>
        <v>2</v>
      </c>
      <c r="F10" s="24">
        <f>SUM('Label Serving Size'!F10*2+F124*2)</f>
        <v>0</v>
      </c>
      <c r="G10" s="25">
        <f>SUM('Label Serving Size'!G10*2+G124*2)</f>
        <v>0</v>
      </c>
      <c r="H10" s="24">
        <f>SUM('Label Serving Size'!H10*2+H124*2)</f>
        <v>0</v>
      </c>
      <c r="I10" s="25">
        <f>SUM('Label Serving Size'!I10*2+I124*2)</f>
        <v>520</v>
      </c>
      <c r="J10" s="24">
        <f>SUM('Label Serving Size'!J10*2+J124*2)</f>
        <v>42</v>
      </c>
      <c r="K10" s="25">
        <f>SUM('Label Serving Size'!K10*2+K124*2)</f>
        <v>4</v>
      </c>
      <c r="L10" s="24">
        <f>SUM('Label Serving Size'!L10*2+L124*2)</f>
        <v>2</v>
      </c>
      <c r="M10" s="25">
        <f>SUM('Label Serving Size'!M10*2+M124*2)</f>
        <v>4</v>
      </c>
      <c r="N10" s="24">
        <f>SUM('Label Serving Size'!N10*2+N124*2)</f>
        <v>4</v>
      </c>
      <c r="O10" s="25">
        <f>SUM('Label Serving Size'!O10*2+O124*2)</f>
        <v>12</v>
      </c>
      <c r="P10" s="24">
        <f>SUM('Label Serving Size'!P10*2+P124*2)</f>
        <v>4</v>
      </c>
      <c r="Q10" s="25">
        <f>SUM('Label Serving Size'!Q10*2+Q124*2)</f>
        <v>4</v>
      </c>
    </row>
    <row r="11" spans="1:17" x14ac:dyDescent="0.25">
      <c r="A11" s="10" t="s">
        <v>179</v>
      </c>
      <c r="B11" s="24">
        <f>SUM('Label Serving Size'!B11*2+B127*2)</f>
        <v>180</v>
      </c>
      <c r="C11" s="25">
        <f>SUM('Label Serving Size'!C11*2+C127*2)</f>
        <v>340</v>
      </c>
      <c r="D11" s="24">
        <f>SUM('Label Serving Size'!D11*2+D127*2)</f>
        <v>120</v>
      </c>
      <c r="E11" s="25">
        <f>SUM('Label Serving Size'!E11*2+E127*2)</f>
        <v>12</v>
      </c>
      <c r="F11" s="24">
        <f>SUM('Label Serving Size'!F11*2+F127*2)</f>
        <v>2</v>
      </c>
      <c r="G11" s="25">
        <f>SUM('Label Serving Size'!G11*2+G127*2)</f>
        <v>4</v>
      </c>
      <c r="H11" s="24">
        <f>SUM('Label Serving Size'!H11*2+H127*2)</f>
        <v>0</v>
      </c>
      <c r="I11" s="25">
        <f>SUM('Label Serving Size'!I11*2+I127*2)</f>
        <v>1070</v>
      </c>
      <c r="J11" s="24">
        <f>SUM('Label Serving Size'!J11*2+J127*2)</f>
        <v>52</v>
      </c>
      <c r="K11" s="25">
        <f>SUM('Label Serving Size'!K11*2+K127*2)</f>
        <v>2</v>
      </c>
      <c r="L11" s="24">
        <f>SUM('Label Serving Size'!L11*2+L127*2)</f>
        <v>4</v>
      </c>
      <c r="M11" s="25">
        <f>SUM('Label Serving Size'!M11*2+M127*2)</f>
        <v>4</v>
      </c>
      <c r="N11" s="24">
        <f>SUM('Label Serving Size'!N11*2+N127*2)</f>
        <v>0</v>
      </c>
      <c r="O11" s="25">
        <f>SUM('Label Serving Size'!O11*2+O127*2)</f>
        <v>0</v>
      </c>
      <c r="P11" s="24">
        <f>SUM('Label Serving Size'!P11*2+P127*2)</f>
        <v>16</v>
      </c>
      <c r="Q11" s="25">
        <f>SUM('Label Serving Size'!Q11*2+Q127*2)</f>
        <v>4</v>
      </c>
    </row>
    <row r="12" spans="1:17" x14ac:dyDescent="0.25">
      <c r="A12" s="10" t="s">
        <v>162</v>
      </c>
      <c r="B12" s="24">
        <f>SUM('Label Serving Size'!B12*4+B18/2+B124*2+B125*2+B127*2+B147)</f>
        <v>530.44444444444446</v>
      </c>
      <c r="C12" s="25">
        <f>SUM('Label Serving Size'!C12*4+C18/2+C124*2+C125*2+C127*2+C147)</f>
        <v>823.33333333333337</v>
      </c>
      <c r="D12" s="24">
        <f>SUM('Label Serving Size'!D12*4+D18/2+D124*2+D125*2+D127*2+D147)</f>
        <v>265</v>
      </c>
      <c r="E12" s="25">
        <f>SUM('Label Serving Size'!E12*4+E18/2+E124*2+E125*2+E127*2+E147)</f>
        <v>27</v>
      </c>
      <c r="F12" s="24">
        <f>SUM('Label Serving Size'!F12*4+F18/2+F124*2+F125*2+F127*2+F147)</f>
        <v>10.25</v>
      </c>
      <c r="G12" s="25">
        <f>SUM('Label Serving Size'!G12*4+G18/2+G124*2+G125*2+G127*2+G147)</f>
        <v>4</v>
      </c>
      <c r="H12" s="24">
        <f>SUM('Label Serving Size'!H12*4+H18/2+H124*2+H125*2+H127*2+H147)</f>
        <v>42.5</v>
      </c>
      <c r="I12" s="25">
        <f>SUM('Label Serving Size'!I12*4+I18/2+I124*2+I125*2+I127*2+I147)</f>
        <v>2612.7777777777778</v>
      </c>
      <c r="J12" s="24">
        <f>SUM('Label Serving Size'!J12*4+J18/2+J124*2+J125*2+J127*2+J147)</f>
        <v>118.83333333333333</v>
      </c>
      <c r="K12" s="25">
        <f>SUM('Label Serving Size'!K12*4+K18/2+K124*2+K125*2+K127*2+K147)</f>
        <v>12.166666666666668</v>
      </c>
      <c r="L12" s="24">
        <f>SUM('Label Serving Size'!L12*4+L18/2+L124*2+L125*2+L127*2+L147)</f>
        <v>10.5</v>
      </c>
      <c r="M12" s="25">
        <f>SUM('Label Serving Size'!M12*4+M18/2+M124*2+M125*2+M127*2+M147)</f>
        <v>20.388888888888889</v>
      </c>
      <c r="N12" s="24">
        <f>SUM('Label Serving Size'!N12*4+N18/2+N124*2+N125*2+N127*2+N147)</f>
        <v>23</v>
      </c>
      <c r="O12" s="25">
        <f>SUM('Label Serving Size'!O12*4+O18/2+O124*2+O125*2+O127*2+O147)</f>
        <v>23.5</v>
      </c>
      <c r="P12" s="24">
        <f>SUM('Label Serving Size'!P12*4+P18/2+P124*2+P125*2+P127*2+P147)</f>
        <v>38.444444444444443</v>
      </c>
      <c r="Q12" s="25">
        <f>SUM('Label Serving Size'!Q12*4+Q18/2+Q124*2+Q125*2+Q127*2+Q147)</f>
        <v>25.333333333333336</v>
      </c>
    </row>
    <row r="13" spans="1:17" x14ac:dyDescent="0.25">
      <c r="A13" s="10" t="s">
        <v>163</v>
      </c>
      <c r="B13" s="24">
        <f>SUM('Label Serving Size'!B13*2.2+B18/2+B124*2+B125*2+B127*2+B147)</f>
        <v>794.44444444444457</v>
      </c>
      <c r="C13" s="25">
        <f>SUM('Label Serving Size'!C13*2.2+C18/2+C124*2+C125*2+C127*2+C147)</f>
        <v>991.33333333333337</v>
      </c>
      <c r="D13" s="24">
        <f>SUM('Label Serving Size'!D13*2.2+D18/2+D124*2+D125*2+D127*2+D147)</f>
        <v>379</v>
      </c>
      <c r="E13" s="25">
        <f>SUM('Label Serving Size'!E13*2.2+E18/2+E124*2+E125*2+E127*2+E147)</f>
        <v>40.6</v>
      </c>
      <c r="F13" s="24">
        <f>SUM('Label Serving Size'!F13*2.2+F18/2+F124*2+F125*2+F127*2+F147)</f>
        <v>14.65</v>
      </c>
      <c r="G13" s="25">
        <f>SUM('Label Serving Size'!G13*2.2+G18/2+G124*2+G125*2+G127*2+G147)</f>
        <v>4</v>
      </c>
      <c r="H13" s="24">
        <f>SUM('Label Serving Size'!H13*2.2+H18/2+H124*2+H125*2+H127*2+H147)</f>
        <v>42.5</v>
      </c>
      <c r="I13" s="25">
        <f>SUM('Label Serving Size'!I13*2.2+I18/2+I124*2+I125*2+I127*2+I147)</f>
        <v>2696.7777777777778</v>
      </c>
      <c r="J13" s="24">
        <f>SUM('Label Serving Size'!J13*2.2+J18/2+J124*2+J125*2+J127*2+J147)</f>
        <v>126.43333333333334</v>
      </c>
      <c r="K13" s="25">
        <f>SUM('Label Serving Size'!K13*2.2+K18/2+K124*2+K125*2+K127*2+K147)</f>
        <v>12.566666666666666</v>
      </c>
      <c r="L13" s="24">
        <f>SUM('Label Serving Size'!L13*2.2+L18/2+L124*2+L125*2+L127*2+L147)</f>
        <v>10.5</v>
      </c>
      <c r="M13" s="25">
        <f>SUM('Label Serving Size'!M13*2.2+M18/2+M124*2+M125*2+M127*2+M147)</f>
        <v>21.18888888888889</v>
      </c>
      <c r="N13" s="24">
        <f>SUM('Label Serving Size'!N13*2.2+N18/2+N124*2+N125*2+N127*2+N147)</f>
        <v>23</v>
      </c>
      <c r="O13" s="25">
        <f>SUM('Label Serving Size'!O13*2.2+O18/2+O124*2+O125*2+O127*2+O147)</f>
        <v>58.7</v>
      </c>
      <c r="P13" s="24">
        <f>SUM('Label Serving Size'!P13*2.2+P18/2+P124*2+P125*2+P127*2+P147)</f>
        <v>30.444444444444443</v>
      </c>
      <c r="Q13" s="25">
        <f>SUM('Label Serving Size'!Q13*2.2+Q18/2+Q124*2+Q125*2+Q127*2+Q147)</f>
        <v>34.933333333333337</v>
      </c>
    </row>
    <row r="14" spans="1:17" ht="20.399999999999999" x14ac:dyDescent="0.35">
      <c r="A14" s="36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x14ac:dyDescent="0.25">
      <c r="A15" s="8" t="s">
        <v>43</v>
      </c>
      <c r="B15" s="24">
        <f>SUM('Label Serving Size'!B15)</f>
        <v>120</v>
      </c>
      <c r="C15" s="25">
        <f>SUM('Label Serving Size'!C15)</f>
        <v>120</v>
      </c>
      <c r="D15" s="24">
        <f>SUM('Label Serving Size'!D15)</f>
        <v>60</v>
      </c>
      <c r="E15" s="25">
        <f>SUM('Label Serving Size'!E15)</f>
        <v>7</v>
      </c>
      <c r="F15" s="24">
        <f>SUM('Label Serving Size'!F15)</f>
        <v>1</v>
      </c>
      <c r="G15" s="25">
        <f>SUM('Label Serving Size'!G15)</f>
        <v>0</v>
      </c>
      <c r="H15" s="24">
        <f>SUM('Label Serving Size'!H15)</f>
        <v>5</v>
      </c>
      <c r="I15" s="25">
        <f>SUM('Label Serving Size'!I15)</f>
        <v>150</v>
      </c>
      <c r="J15" s="24">
        <f>SUM('Label Serving Size'!J15)</f>
        <v>15</v>
      </c>
      <c r="K15" s="25">
        <f>SUM('Label Serving Size'!K15)</f>
        <v>2</v>
      </c>
      <c r="L15" s="24">
        <f>SUM('Label Serving Size'!L15)</f>
        <v>15</v>
      </c>
      <c r="M15" s="25">
        <f>SUM('Label Serving Size'!M15)</f>
        <v>1</v>
      </c>
      <c r="N15" s="24">
        <f>SUM('Label Serving Size'!N15)</f>
        <v>6</v>
      </c>
      <c r="O15" s="25">
        <f>SUM('Label Serving Size'!O15)</f>
        <v>4</v>
      </c>
      <c r="P15" s="24">
        <f>SUM('Label Serving Size'!P15)</f>
        <v>4</v>
      </c>
      <c r="Q15" s="25">
        <f>SUM('Label Serving Size'!Q15)</f>
        <v>2</v>
      </c>
    </row>
    <row r="16" spans="1:17" x14ac:dyDescent="0.25">
      <c r="A16" s="10" t="s">
        <v>44</v>
      </c>
      <c r="B16" s="24">
        <f>SUM('Label Serving Size'!B16+B137*2+B140+B141+B144+B145)</f>
        <v>509.88888888888891</v>
      </c>
      <c r="C16" s="25">
        <f>SUM('Label Serving Size'!C16+C137*2+C140+C141+C144+C145)</f>
        <v>301.66666666666669</v>
      </c>
      <c r="D16" s="24">
        <f>SUM('Label Serving Size'!D16+D137*2+D140+D141+D144+D145)</f>
        <v>160</v>
      </c>
      <c r="E16" s="25">
        <f>SUM('Label Serving Size'!E16+E137*2+E140+E141+E144+E145)</f>
        <v>18</v>
      </c>
      <c r="F16" s="24">
        <f>SUM('Label Serving Size'!F16+F137*2+F140+F141+F144+F145)</f>
        <v>10</v>
      </c>
      <c r="G16" s="25">
        <f>SUM('Label Serving Size'!G16+G137*2+G140+G141+G144+G145)</f>
        <v>0</v>
      </c>
      <c r="H16" s="24">
        <f>SUM('Label Serving Size'!H16+H137*2+H140+H141+H144+H145)</f>
        <v>60</v>
      </c>
      <c r="I16" s="25">
        <f>SUM('Label Serving Size'!I16+I137*2+I140+I141+I144+I145)</f>
        <v>475.55555555555554</v>
      </c>
      <c r="J16" s="24">
        <f>SUM('Label Serving Size'!J16+J137*2+J140+J141+J144+J145)</f>
        <v>17.666666666666668</v>
      </c>
      <c r="K16" s="25">
        <f>SUM('Label Serving Size'!K16+K137*2+K140+K141+K144+K145)</f>
        <v>5.333333333333333</v>
      </c>
      <c r="L16" s="24">
        <f>SUM('Label Serving Size'!L16+L137*2+L140+L141+L144+L145)</f>
        <v>8</v>
      </c>
      <c r="M16" s="25">
        <f>SUM('Label Serving Size'!M16+M137*2+M140+M141+M144+M145)</f>
        <v>19.777777777777779</v>
      </c>
      <c r="N16" s="24">
        <f>SUM('Label Serving Size'!N16+N137*2+N140+N141+N144+N145)</f>
        <v>48</v>
      </c>
      <c r="O16" s="25">
        <f>SUM('Label Serving Size'!O16+O137*2+O140+O141+O144+O145)</f>
        <v>62</v>
      </c>
      <c r="P16" s="24">
        <f>SUM('Label Serving Size'!P16+P137*2+P140+P141+P144+P145)</f>
        <v>48.888888888888886</v>
      </c>
      <c r="Q16" s="25">
        <f>SUM('Label Serving Size'!Q16+Q137*2+Q140+Q141+Q144+Q145)</f>
        <v>16.666666666666668</v>
      </c>
    </row>
    <row r="17" spans="1:17" x14ac:dyDescent="0.25">
      <c r="A17" s="10" t="s">
        <v>46</v>
      </c>
      <c r="B17" s="24">
        <f>SUM('Label Serving Size'!B17)</f>
        <v>78</v>
      </c>
      <c r="C17" s="25">
        <f>SUM('Label Serving Size'!C17)</f>
        <v>160</v>
      </c>
      <c r="D17" s="24">
        <f>SUM('Label Serving Size'!D17)</f>
        <v>160</v>
      </c>
      <c r="E17" s="25">
        <f>SUM('Label Serving Size'!E17)</f>
        <v>7</v>
      </c>
      <c r="F17" s="24">
        <f>SUM('Label Serving Size'!F17)</f>
        <v>1</v>
      </c>
      <c r="G17" s="25">
        <f>SUM('Label Serving Size'!G17)</f>
        <v>0</v>
      </c>
      <c r="H17" s="24">
        <f>SUM('Label Serving Size'!H17)</f>
        <v>0</v>
      </c>
      <c r="I17" s="25">
        <f>SUM('Label Serving Size'!I17)</f>
        <v>250</v>
      </c>
      <c r="J17" s="24">
        <f>SUM('Label Serving Size'!J17)</f>
        <v>21</v>
      </c>
      <c r="K17" s="25">
        <f>SUM('Label Serving Size'!K17)</f>
        <v>1</v>
      </c>
      <c r="L17" s="24">
        <f>SUM('Label Serving Size'!L17)</f>
        <v>3</v>
      </c>
      <c r="M17" s="25">
        <f>SUM('Label Serving Size'!M17)</f>
        <v>3</v>
      </c>
      <c r="N17" s="24">
        <f>SUM('Label Serving Size'!N17)</f>
        <v>0</v>
      </c>
      <c r="O17" s="25">
        <f>SUM('Label Serving Size'!O17)</f>
        <v>4</v>
      </c>
      <c r="P17" s="24">
        <f>SUM('Label Serving Size'!P17)</f>
        <v>2</v>
      </c>
      <c r="Q17" s="25">
        <f>SUM('Label Serving Size'!Q17)</f>
        <v>2</v>
      </c>
    </row>
    <row r="18" spans="1:17" x14ac:dyDescent="0.25">
      <c r="A18" s="10" t="s">
        <v>45</v>
      </c>
      <c r="B18" s="24">
        <f>SUM('Label Serving Size'!B18+B144)</f>
        <v>268.88888888888891</v>
      </c>
      <c r="C18" s="25">
        <f>SUM('Label Serving Size'!C18+C144)</f>
        <v>296.66666666666669</v>
      </c>
      <c r="D18" s="24">
        <f>SUM('Label Serving Size'!D18+D144)</f>
        <v>50</v>
      </c>
      <c r="E18" s="25">
        <f>SUM('Label Serving Size'!E18+E144)</f>
        <v>6</v>
      </c>
      <c r="F18" s="24">
        <f>SUM('Label Serving Size'!F18+F144)</f>
        <v>2.5</v>
      </c>
      <c r="G18" s="25">
        <f>SUM('Label Serving Size'!G18+G144)</f>
        <v>0</v>
      </c>
      <c r="H18" s="24">
        <f>SUM('Label Serving Size'!H18+H144)</f>
        <v>25</v>
      </c>
      <c r="I18" s="25">
        <f>SUM('Label Serving Size'!I18+I144)</f>
        <v>845.55555555555554</v>
      </c>
      <c r="J18" s="24">
        <f>SUM('Label Serving Size'!J18+J144)</f>
        <v>39.666666666666664</v>
      </c>
      <c r="K18" s="25">
        <f>SUM('Label Serving Size'!K18+K144)</f>
        <v>10.333333333333334</v>
      </c>
      <c r="L18" s="24">
        <f>SUM('Label Serving Size'!L18+L144)</f>
        <v>5</v>
      </c>
      <c r="M18" s="25">
        <f>SUM('Label Serving Size'!M18+M144)</f>
        <v>20.777777777777779</v>
      </c>
      <c r="N18" s="24">
        <f>SUM('Label Serving Size'!N18+N144)</f>
        <v>10</v>
      </c>
      <c r="O18" s="25">
        <f>SUM('Label Serving Size'!O18+O144)</f>
        <v>15</v>
      </c>
      <c r="P18" s="24">
        <f>SUM('Label Serving Size'!P18+P144)</f>
        <v>8.8888888888888893</v>
      </c>
      <c r="Q18" s="25">
        <f>SUM('Label Serving Size'!Q18+Q144)</f>
        <v>26.666666666666668</v>
      </c>
    </row>
    <row r="19" spans="1:17" x14ac:dyDescent="0.25">
      <c r="A19" s="10" t="s">
        <v>47</v>
      </c>
      <c r="B19" s="24">
        <f>SUM('Label Serving Size'!B19*2.3)</f>
        <v>206.99999999999997</v>
      </c>
      <c r="C19" s="25">
        <f>SUM('Label Serving Size'!C19*2.3)</f>
        <v>276</v>
      </c>
      <c r="D19" s="24">
        <f>SUM('Label Serving Size'!D19*2.3)</f>
        <v>80.5</v>
      </c>
      <c r="E19" s="25">
        <f>SUM('Label Serving Size'!E19*2.3)</f>
        <v>9.1999999999999993</v>
      </c>
      <c r="F19" s="24">
        <f>SUM('Label Serving Size'!F19*2.3)</f>
        <v>2.2999999999999998</v>
      </c>
      <c r="G19" s="25">
        <f>SUM('Label Serving Size'!G19*2.3)</f>
        <v>0</v>
      </c>
      <c r="H19" s="24">
        <f>SUM('Label Serving Size'!H19*2.3)</f>
        <v>0</v>
      </c>
      <c r="I19" s="25">
        <f>SUM('Label Serving Size'!I19*2.3)</f>
        <v>138</v>
      </c>
      <c r="J19" s="24">
        <f>SUM('Label Serving Size'!J19*2.3)</f>
        <v>43.699999999999996</v>
      </c>
      <c r="K19" s="25">
        <f>SUM('Label Serving Size'!K19*2.3)</f>
        <v>2.2999999999999998</v>
      </c>
      <c r="L19" s="24">
        <f>SUM('Label Serving Size'!L19*2.3)</f>
        <v>0</v>
      </c>
      <c r="M19" s="25">
        <f>SUM('Label Serving Size'!M19*2.3)</f>
        <v>4.5999999999999996</v>
      </c>
      <c r="N19" s="24">
        <f>SUM('Label Serving Size'!N19*2.3)</f>
        <v>0</v>
      </c>
      <c r="O19" s="25">
        <f>SUM('Label Serving Size'!O19*2.3)</f>
        <v>18.399999999999999</v>
      </c>
      <c r="P19" s="24">
        <f>SUM('Label Serving Size'!P19*2.3)</f>
        <v>0</v>
      </c>
      <c r="Q19" s="25">
        <f>SUM('Label Serving Size'!Q19*2.3)</f>
        <v>9.1999999999999993</v>
      </c>
    </row>
    <row r="20" spans="1:17" x14ac:dyDescent="0.25">
      <c r="A20" s="10" t="s">
        <v>48</v>
      </c>
      <c r="B20" s="24">
        <f>SUM('Label Serving Size'!B20*2.2)</f>
        <v>396.00000000000006</v>
      </c>
      <c r="C20" s="25">
        <f>SUM('Label Serving Size'!C20*2.2)</f>
        <v>528</v>
      </c>
      <c r="D20" s="24">
        <f>SUM('Label Serving Size'!D20*2.2)</f>
        <v>154</v>
      </c>
      <c r="E20" s="25">
        <f>SUM('Label Serving Size'!E20*2.2)</f>
        <v>17.600000000000001</v>
      </c>
      <c r="F20" s="24">
        <f>SUM('Label Serving Size'!F20*2.2)</f>
        <v>4.4000000000000004</v>
      </c>
      <c r="G20" s="25">
        <f>SUM('Label Serving Size'!G20*2.2)</f>
        <v>0</v>
      </c>
      <c r="H20" s="24">
        <f>SUM('Label Serving Size'!H20*2.2)</f>
        <v>0</v>
      </c>
      <c r="I20" s="25">
        <f>SUM('Label Serving Size'!I20*2.2)</f>
        <v>264</v>
      </c>
      <c r="J20" s="24">
        <f>SUM('Label Serving Size'!J20*2.2)</f>
        <v>83.600000000000009</v>
      </c>
      <c r="K20" s="25">
        <f>SUM('Label Serving Size'!K20*2.2)</f>
        <v>4.4000000000000004</v>
      </c>
      <c r="L20" s="24">
        <f>SUM('Label Serving Size'!L20*2.2)</f>
        <v>0</v>
      </c>
      <c r="M20" s="25">
        <f>SUM('Label Serving Size'!M20*2.2)</f>
        <v>8.8000000000000007</v>
      </c>
      <c r="N20" s="24">
        <f>SUM('Label Serving Size'!N20*2.2)</f>
        <v>0</v>
      </c>
      <c r="O20" s="25">
        <f>SUM('Label Serving Size'!O20*2.2)</f>
        <v>35.200000000000003</v>
      </c>
      <c r="P20" s="24">
        <f>SUM('Label Serving Size'!P20*2.2)</f>
        <v>0</v>
      </c>
      <c r="Q20" s="25">
        <f>SUM('Label Serving Size'!Q20*2.2)</f>
        <v>17.600000000000001</v>
      </c>
    </row>
    <row r="21" spans="1:17" x14ac:dyDescent="0.25">
      <c r="A21" s="10" t="s">
        <v>49</v>
      </c>
      <c r="B21" s="24">
        <f>SUM('Label Serving Size'!B21*2.3+B127)</f>
        <v>264</v>
      </c>
      <c r="C21" s="25">
        <f>SUM('Label Serving Size'!C21*2.3+C127)</f>
        <v>356</v>
      </c>
      <c r="D21" s="24">
        <f>SUM('Label Serving Size'!D21*2.3+D127)</f>
        <v>130.5</v>
      </c>
      <c r="E21" s="25">
        <f>SUM('Label Serving Size'!E21*2.3+E127)</f>
        <v>14.2</v>
      </c>
      <c r="F21" s="24">
        <f>SUM('Label Serving Size'!F21*2.3+F127)</f>
        <v>3.3</v>
      </c>
      <c r="G21" s="25">
        <f>SUM('Label Serving Size'!G21*2.3+G127)</f>
        <v>2</v>
      </c>
      <c r="H21" s="24">
        <f>SUM('Label Serving Size'!H21*2.3+H127)</f>
        <v>0</v>
      </c>
      <c r="I21" s="25">
        <f>SUM('Label Serving Size'!I21*2.3+I127)</f>
        <v>628</v>
      </c>
      <c r="J21" s="24">
        <f>SUM('Label Serving Size'!J21*2.3+J127)</f>
        <v>50.699999999999996</v>
      </c>
      <c r="K21" s="25">
        <f>SUM('Label Serving Size'!K21*2.3+K127)</f>
        <v>2.2999999999999998</v>
      </c>
      <c r="L21" s="24">
        <f>SUM('Label Serving Size'!L21*2.3+L127)</f>
        <v>2</v>
      </c>
      <c r="M21" s="25">
        <f>SUM('Label Serving Size'!M21*2.3+M127)</f>
        <v>4.5999999999999996</v>
      </c>
      <c r="N21" s="24">
        <f>SUM('Label Serving Size'!N21*2.3+N127)</f>
        <v>0</v>
      </c>
      <c r="O21" s="25">
        <f>SUM('Label Serving Size'!O21*2.3+O127)</f>
        <v>18.399999999999999</v>
      </c>
      <c r="P21" s="24">
        <f>SUM('Label Serving Size'!P21*2.3+P127)</f>
        <v>6</v>
      </c>
      <c r="Q21" s="25">
        <f>SUM('Label Serving Size'!Q21*2.3+Q127)</f>
        <v>9.1999999999999993</v>
      </c>
    </row>
    <row r="22" spans="1:17" x14ac:dyDescent="0.25">
      <c r="A22" s="10" t="s">
        <v>50</v>
      </c>
      <c r="B22" s="24">
        <f>SUM('Label Serving Size'!B22*2.2+B127)</f>
        <v>453.00000000000006</v>
      </c>
      <c r="C22" s="25">
        <f>SUM('Label Serving Size'!C22*2.2+C127)</f>
        <v>608</v>
      </c>
      <c r="D22" s="24">
        <f>SUM('Label Serving Size'!D22*2.2+D127)</f>
        <v>204</v>
      </c>
      <c r="E22" s="25">
        <f>SUM('Label Serving Size'!E22*2.2+E127)</f>
        <v>22.6</v>
      </c>
      <c r="F22" s="24">
        <f>SUM('Label Serving Size'!F22*2.2+F127)</f>
        <v>5.4</v>
      </c>
      <c r="G22" s="25">
        <f>SUM('Label Serving Size'!G22*2.2+G127)</f>
        <v>2</v>
      </c>
      <c r="H22" s="24">
        <f>SUM('Label Serving Size'!H22*2.2+H127)</f>
        <v>0</v>
      </c>
      <c r="I22" s="25">
        <f>SUM('Label Serving Size'!I22*2.2+I127)</f>
        <v>754</v>
      </c>
      <c r="J22" s="24">
        <f>SUM('Label Serving Size'!J22*2.2+J127)</f>
        <v>90.600000000000009</v>
      </c>
      <c r="K22" s="25">
        <f>SUM('Label Serving Size'!K22*2.2+K127)</f>
        <v>4.4000000000000004</v>
      </c>
      <c r="L22" s="24">
        <f>SUM('Label Serving Size'!L22*2.2+L127)</f>
        <v>2</v>
      </c>
      <c r="M22" s="25">
        <f>SUM('Label Serving Size'!M22*2.2+M127)</f>
        <v>8.8000000000000007</v>
      </c>
      <c r="N22" s="24">
        <f>SUM('Label Serving Size'!N22*2.2+N127)</f>
        <v>0</v>
      </c>
      <c r="O22" s="25">
        <f>SUM('Label Serving Size'!O22*2.2+O127)</f>
        <v>35.200000000000003</v>
      </c>
      <c r="P22" s="24">
        <f>SUM('Label Serving Size'!P22*2.2+P127)</f>
        <v>6</v>
      </c>
      <c r="Q22" s="25">
        <f>SUM('Label Serving Size'!Q22*2.2+Q127)</f>
        <v>17.600000000000001</v>
      </c>
    </row>
    <row r="23" spans="1:17" x14ac:dyDescent="0.25">
      <c r="A23" s="10" t="s">
        <v>184</v>
      </c>
      <c r="B23" s="24">
        <f>SUM('Label Serving Size'!B23*2.3)</f>
        <v>195.49999999999997</v>
      </c>
      <c r="C23" s="25">
        <f>SUM('Label Serving Size'!C23*2.3)</f>
        <v>368</v>
      </c>
      <c r="D23" s="24">
        <f>SUM('Label Serving Size'!D23*2.3)</f>
        <v>161</v>
      </c>
      <c r="E23" s="25">
        <f>SUM('Label Serving Size'!E23*2.3)</f>
        <v>18.399999999999999</v>
      </c>
      <c r="F23" s="24">
        <f>SUM('Label Serving Size'!F23*2.3)</f>
        <v>2.2999999999999998</v>
      </c>
      <c r="G23" s="25">
        <f>SUM('Label Serving Size'!G23*2.3)</f>
        <v>0</v>
      </c>
      <c r="H23" s="24">
        <f>SUM('Label Serving Size'!H23*2.3)</f>
        <v>0</v>
      </c>
      <c r="I23" s="25">
        <f>SUM('Label Serving Size'!I23*2.3)</f>
        <v>827.99999999999989</v>
      </c>
      <c r="J23" s="24">
        <f>SUM('Label Serving Size'!J23*2.3)</f>
        <v>46</v>
      </c>
      <c r="K23" s="25">
        <f>SUM('Label Serving Size'!K23*2.3)</f>
        <v>9.1999999999999993</v>
      </c>
      <c r="L23" s="24">
        <f>SUM('Label Serving Size'!L23*2.3)</f>
        <v>0</v>
      </c>
      <c r="M23" s="25">
        <f>SUM('Label Serving Size'!M23*2.3)</f>
        <v>6.8999999999999995</v>
      </c>
      <c r="N23" s="24">
        <f>SUM('Label Serving Size'!N23*2.3)</f>
        <v>0</v>
      </c>
      <c r="O23" s="25">
        <f>SUM('Label Serving Size'!O23*2.3)</f>
        <v>13.799999999999999</v>
      </c>
      <c r="P23" s="24">
        <f>SUM('Label Serving Size'!P23*2.3)</f>
        <v>0</v>
      </c>
      <c r="Q23" s="25">
        <f>SUM('Label Serving Size'!Q23*2.3)</f>
        <v>4.5999999999999996</v>
      </c>
    </row>
    <row r="24" spans="1:17" x14ac:dyDescent="0.25">
      <c r="A24" s="10" t="s">
        <v>185</v>
      </c>
      <c r="B24" s="24">
        <f>SUM('Label Serving Size'!B24*2.2)</f>
        <v>374.00000000000006</v>
      </c>
      <c r="C24" s="25">
        <f>SUM('Label Serving Size'!C24*2.2)</f>
        <v>704</v>
      </c>
      <c r="D24" s="24">
        <f>SUM('Label Serving Size'!D24*2.2)</f>
        <v>308</v>
      </c>
      <c r="E24" s="25">
        <f>SUM('Label Serving Size'!E24*2.2)</f>
        <v>35.200000000000003</v>
      </c>
      <c r="F24" s="24">
        <f>SUM('Label Serving Size'!F24*2.2)</f>
        <v>4.4000000000000004</v>
      </c>
      <c r="G24" s="25">
        <f>SUM('Label Serving Size'!G24*2.2)</f>
        <v>0</v>
      </c>
      <c r="H24" s="24">
        <f>SUM('Label Serving Size'!H24*2.2)</f>
        <v>0</v>
      </c>
      <c r="I24" s="25">
        <f>SUM('Label Serving Size'!I24*2.2)</f>
        <v>1584.0000000000002</v>
      </c>
      <c r="J24" s="24">
        <f>SUM('Label Serving Size'!J24*2.2)</f>
        <v>88</v>
      </c>
      <c r="K24" s="25">
        <f>SUM('Label Serving Size'!K24*2.2)</f>
        <v>17.600000000000001</v>
      </c>
      <c r="L24" s="24">
        <f>SUM('Label Serving Size'!L24*2.2)</f>
        <v>0</v>
      </c>
      <c r="M24" s="25">
        <f>SUM('Label Serving Size'!M24*2.2)</f>
        <v>13.200000000000001</v>
      </c>
      <c r="N24" s="24">
        <f>SUM('Label Serving Size'!N24*2.2)</f>
        <v>0</v>
      </c>
      <c r="O24" s="25">
        <f>SUM('Label Serving Size'!O24*2.2)</f>
        <v>26.400000000000002</v>
      </c>
      <c r="P24" s="24">
        <f>SUM('Label Serving Size'!P24*2.2)</f>
        <v>0</v>
      </c>
      <c r="Q24" s="25">
        <f>SUM('Label Serving Size'!Q24*2.2)</f>
        <v>8.8000000000000007</v>
      </c>
    </row>
    <row r="25" spans="1:17" x14ac:dyDescent="0.25">
      <c r="A25" s="10" t="s">
        <v>186</v>
      </c>
      <c r="B25" s="24">
        <f>SUM('Label Serving Size'!B25*2.3)</f>
        <v>195.49999999999997</v>
      </c>
      <c r="C25" s="25">
        <f>SUM('Label Serving Size'!C25*2.3)</f>
        <v>345</v>
      </c>
      <c r="D25" s="24">
        <f>SUM('Label Serving Size'!D25*2.3)</f>
        <v>138</v>
      </c>
      <c r="E25" s="25">
        <f>SUM('Label Serving Size'!E25*2.3)</f>
        <v>16.099999999999998</v>
      </c>
      <c r="F25" s="24">
        <f>SUM('Label Serving Size'!F25*2.3)</f>
        <v>3.4499999999999997</v>
      </c>
      <c r="G25" s="25">
        <f>SUM('Label Serving Size'!G25*2.3)</f>
        <v>0</v>
      </c>
      <c r="H25" s="24">
        <f>SUM('Label Serving Size'!H25*2.3)</f>
        <v>0</v>
      </c>
      <c r="I25" s="25">
        <f>SUM('Label Serving Size'!I25*2.3)</f>
        <v>368</v>
      </c>
      <c r="J25" s="24">
        <f>SUM('Label Serving Size'!J25*2.3)</f>
        <v>55.199999999999996</v>
      </c>
      <c r="K25" s="25">
        <f>SUM('Label Serving Size'!K25*2.3)</f>
        <v>9.1999999999999993</v>
      </c>
      <c r="L25" s="24">
        <f>SUM('Label Serving Size'!L25*2.3)</f>
        <v>16.099999999999998</v>
      </c>
      <c r="M25" s="25">
        <f>SUM('Label Serving Size'!M25*2.3)</f>
        <v>2.2999999999999998</v>
      </c>
      <c r="N25" s="24">
        <f>SUM('Label Serving Size'!N25*2.3)</f>
        <v>114.99999999999999</v>
      </c>
      <c r="O25" s="25">
        <f>SUM('Label Serving Size'!O25*2.3)</f>
        <v>9.1999999999999993</v>
      </c>
      <c r="P25" s="24">
        <f>SUM('Label Serving Size'!P25*2.3)</f>
        <v>4.5999999999999996</v>
      </c>
      <c r="Q25" s="25">
        <f>SUM('Label Serving Size'!Q25*2.3)</f>
        <v>13.799999999999999</v>
      </c>
    </row>
    <row r="26" spans="1:17" x14ac:dyDescent="0.25">
      <c r="A26" s="10" t="s">
        <v>187</v>
      </c>
      <c r="B26" s="24">
        <f>SUM('Label Serving Size'!B26*2.2)</f>
        <v>374.00000000000006</v>
      </c>
      <c r="C26" s="25">
        <f>SUM('Label Serving Size'!C26*2.2)</f>
        <v>660</v>
      </c>
      <c r="D26" s="24">
        <f>SUM('Label Serving Size'!D26*2.2)</f>
        <v>264</v>
      </c>
      <c r="E26" s="25">
        <f>SUM('Label Serving Size'!E26*2.2)</f>
        <v>30.800000000000004</v>
      </c>
      <c r="F26" s="24">
        <f>SUM('Label Serving Size'!F26*2.2)</f>
        <v>6.6000000000000005</v>
      </c>
      <c r="G26" s="25">
        <f>SUM('Label Serving Size'!G26*2.2)</f>
        <v>0</v>
      </c>
      <c r="H26" s="24">
        <f>SUM('Label Serving Size'!H26*2.2)</f>
        <v>0</v>
      </c>
      <c r="I26" s="25">
        <f>SUM('Label Serving Size'!I26*2.2)</f>
        <v>704</v>
      </c>
      <c r="J26" s="24">
        <f>SUM('Label Serving Size'!J26*2.2)</f>
        <v>105.60000000000001</v>
      </c>
      <c r="K26" s="25">
        <f>SUM('Label Serving Size'!K26*2.2)</f>
        <v>17.600000000000001</v>
      </c>
      <c r="L26" s="24">
        <f>SUM('Label Serving Size'!L26*2.2)</f>
        <v>30.800000000000004</v>
      </c>
      <c r="M26" s="25">
        <f>SUM('Label Serving Size'!M26*2.2)</f>
        <v>4.4000000000000004</v>
      </c>
      <c r="N26" s="24">
        <f>SUM('Label Serving Size'!N26*2.2)</f>
        <v>220.00000000000003</v>
      </c>
      <c r="O26" s="25">
        <f>SUM('Label Serving Size'!O26*2.2)</f>
        <v>17.600000000000001</v>
      </c>
      <c r="P26" s="24">
        <f>SUM('Label Serving Size'!P26*2.2)</f>
        <v>8.8000000000000007</v>
      </c>
      <c r="Q26" s="25">
        <f>SUM('Label Serving Size'!Q26*2.2)</f>
        <v>26.400000000000002</v>
      </c>
    </row>
    <row r="27" spans="1:17" x14ac:dyDescent="0.25">
      <c r="A27" s="10" t="s">
        <v>106</v>
      </c>
      <c r="B27" s="24">
        <f>SUM('Label Serving Size'!B27*2.5)</f>
        <v>80</v>
      </c>
      <c r="C27" s="25">
        <f>SUM('Label Serving Size'!C27*2.5)</f>
        <v>250</v>
      </c>
      <c r="D27" s="24">
        <f>SUM('Label Serving Size'!D27*2.5)</f>
        <v>0</v>
      </c>
      <c r="E27" s="25">
        <f>SUM('Label Serving Size'!E27*2.5)</f>
        <v>0</v>
      </c>
      <c r="F27" s="24">
        <f>SUM('Label Serving Size'!F27*2.5)</f>
        <v>0</v>
      </c>
      <c r="G27" s="25">
        <f>SUM('Label Serving Size'!G27*2.5)</f>
        <v>0</v>
      </c>
      <c r="H27" s="24">
        <f>SUM('Label Serving Size'!H27*2.5)</f>
        <v>0</v>
      </c>
      <c r="I27" s="25">
        <f>SUM('Label Serving Size'!I27*2.5)</f>
        <v>1225</v>
      </c>
      <c r="J27" s="24">
        <f>SUM('Label Serving Size'!J27*2.5)</f>
        <v>57.5</v>
      </c>
      <c r="K27" s="25">
        <f>SUM('Label Serving Size'!K27*2.5)</f>
        <v>5</v>
      </c>
      <c r="L27" s="24">
        <f>SUM('Label Serving Size'!L27*2.5)</f>
        <v>10</v>
      </c>
      <c r="M27" s="25">
        <f>SUM('Label Serving Size'!M27*2.5)</f>
        <v>7.5</v>
      </c>
      <c r="N27" s="24">
        <f>SUM('Label Serving Size'!N27*2.5)</f>
        <v>0</v>
      </c>
      <c r="O27" s="25">
        <f>SUM('Label Serving Size'!O27*2.5)</f>
        <v>0</v>
      </c>
      <c r="P27" s="24">
        <f>SUM('Label Serving Size'!P27*2.5)</f>
        <v>25</v>
      </c>
      <c r="Q27" s="25">
        <f>SUM('Label Serving Size'!Q27*2.5)</f>
        <v>10</v>
      </c>
    </row>
    <row r="28" spans="1:17" x14ac:dyDescent="0.25">
      <c r="A28" s="10" t="s">
        <v>135</v>
      </c>
      <c r="B28" s="24">
        <f>SUM('Label Serving Size'!B28)</f>
        <v>50</v>
      </c>
      <c r="C28" s="25">
        <f>SUM('Label Serving Size'!C28)</f>
        <v>140</v>
      </c>
      <c r="D28" s="24">
        <f>SUM('Label Serving Size'!D28)</f>
        <v>0</v>
      </c>
      <c r="E28" s="25">
        <f>SUM('Label Serving Size'!E28)</f>
        <v>1</v>
      </c>
      <c r="F28" s="24">
        <f>SUM('Label Serving Size'!F28)</f>
        <v>0</v>
      </c>
      <c r="G28" s="25">
        <f>SUM('Label Serving Size'!G28)</f>
        <v>0</v>
      </c>
      <c r="H28" s="24">
        <f>SUM('Label Serving Size'!H28)</f>
        <v>0</v>
      </c>
      <c r="I28" s="25">
        <f>SUM('Label Serving Size'!I28)</f>
        <v>300</v>
      </c>
      <c r="J28" s="24">
        <f>SUM('Label Serving Size'!J28)</f>
        <v>29</v>
      </c>
      <c r="K28" s="25">
        <f>SUM('Label Serving Size'!K28)</f>
        <v>2</v>
      </c>
      <c r="L28" s="24">
        <f>SUM('Label Serving Size'!L28)</f>
        <v>3</v>
      </c>
      <c r="M28" s="25">
        <f>SUM('Label Serving Size'!M28)</f>
        <v>5</v>
      </c>
      <c r="N28" s="24">
        <f>SUM('Label Serving Size'!N28)</f>
        <v>0</v>
      </c>
      <c r="O28" s="25">
        <f>SUM('Label Serving Size'!O28)</f>
        <v>0</v>
      </c>
      <c r="P28" s="24">
        <f>SUM('Label Serving Size'!P28)</f>
        <v>2</v>
      </c>
      <c r="Q28" s="25">
        <f>SUM('Label Serving Size'!Q28)</f>
        <v>10</v>
      </c>
    </row>
    <row r="29" spans="1:17" x14ac:dyDescent="0.25">
      <c r="A29" s="10" t="s">
        <v>129</v>
      </c>
      <c r="B29" s="24">
        <f>SUM('Label Serving Size'!B29)</f>
        <v>79</v>
      </c>
      <c r="C29" s="25">
        <f>SUM('Label Serving Size'!C29)</f>
        <v>200</v>
      </c>
      <c r="D29" s="24">
        <f>SUM('Label Serving Size'!D29)</f>
        <v>0</v>
      </c>
      <c r="E29" s="25">
        <f>SUM('Label Serving Size'!E29)</f>
        <v>2</v>
      </c>
      <c r="F29" s="24">
        <f>SUM('Label Serving Size'!F29)</f>
        <v>1</v>
      </c>
      <c r="G29" s="25">
        <f>SUM('Label Serving Size'!G29)</f>
        <v>0</v>
      </c>
      <c r="H29" s="24">
        <f>SUM('Label Serving Size'!H29)</f>
        <v>0</v>
      </c>
      <c r="I29" s="25">
        <f>SUM('Label Serving Size'!I29)</f>
        <v>530</v>
      </c>
      <c r="J29" s="24">
        <f>SUM('Label Serving Size'!J29)</f>
        <v>41</v>
      </c>
      <c r="K29" s="25">
        <f>SUM('Label Serving Size'!K29)</f>
        <v>2</v>
      </c>
      <c r="L29" s="24">
        <f>SUM('Label Serving Size'!L29)</f>
        <v>2</v>
      </c>
      <c r="M29" s="25">
        <f>SUM('Label Serving Size'!M29)</f>
        <v>7</v>
      </c>
      <c r="N29" s="24">
        <f>SUM('Label Serving Size'!N29)</f>
        <v>0</v>
      </c>
      <c r="O29" s="25">
        <f>SUM('Label Serving Size'!O29)</f>
        <v>0</v>
      </c>
      <c r="P29" s="24">
        <f>SUM('Label Serving Size'!P29)</f>
        <v>3</v>
      </c>
      <c r="Q29" s="25">
        <f>SUM('Label Serving Size'!Q29)</f>
        <v>18</v>
      </c>
    </row>
    <row r="30" spans="1:17" x14ac:dyDescent="0.25">
      <c r="A30" s="10" t="s">
        <v>130</v>
      </c>
      <c r="B30" s="24">
        <f>SUM('Label Serving Size'!B30)</f>
        <v>99</v>
      </c>
      <c r="C30" s="25">
        <f>SUM('Label Serving Size'!C30)</f>
        <v>232</v>
      </c>
      <c r="D30" s="24">
        <f>SUM('Label Serving Size'!D30)</f>
        <v>23</v>
      </c>
      <c r="E30" s="25">
        <f>SUM('Label Serving Size'!E30)</f>
        <v>3</v>
      </c>
      <c r="F30" s="24">
        <f>SUM('Label Serving Size'!F30)</f>
        <v>2</v>
      </c>
      <c r="G30" s="25">
        <f>SUM('Label Serving Size'!G30)</f>
        <v>0</v>
      </c>
      <c r="H30" s="24">
        <f>SUM('Label Serving Size'!H30)</f>
        <v>0</v>
      </c>
      <c r="I30" s="25">
        <f>SUM('Label Serving Size'!I30)</f>
        <v>626</v>
      </c>
      <c r="J30" s="24">
        <f>SUM('Label Serving Size'!J30)</f>
        <v>43</v>
      </c>
      <c r="K30" s="25">
        <f>SUM('Label Serving Size'!K30)</f>
        <v>2</v>
      </c>
      <c r="L30" s="24">
        <f>SUM('Label Serving Size'!L30)</f>
        <v>2</v>
      </c>
      <c r="M30" s="25">
        <f>SUM('Label Serving Size'!M30)</f>
        <v>8</v>
      </c>
      <c r="N30" s="24">
        <f>SUM('Label Serving Size'!N30)</f>
        <v>0</v>
      </c>
      <c r="O30" s="25">
        <f>SUM('Label Serving Size'!O30)</f>
        <v>20</v>
      </c>
      <c r="P30" s="24">
        <f>SUM('Label Serving Size'!P30)</f>
        <v>6</v>
      </c>
      <c r="Q30" s="25">
        <f>SUM('Label Serving Size'!Q30)</f>
        <v>15</v>
      </c>
    </row>
    <row r="31" spans="1:17" ht="20.399999999999999" x14ac:dyDescent="0.35">
      <c r="A31" s="36" t="s">
        <v>23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</row>
    <row r="32" spans="1:17" x14ac:dyDescent="0.25">
      <c r="A32" s="8" t="s">
        <v>51</v>
      </c>
      <c r="B32" s="24">
        <f>SUM('Label Serving Size'!B32*4+B137*4+B140+B141+B144+B145)</f>
        <v>832.88888888888891</v>
      </c>
      <c r="C32" s="25">
        <f>SUM('Label Serving Size'!C32*4+C137*4+C140+C141+C144+C145)</f>
        <v>551.66666666666663</v>
      </c>
      <c r="D32" s="24">
        <f>SUM('Label Serving Size'!D32*4+D137*4+D140+D141+D144+D145)</f>
        <v>320</v>
      </c>
      <c r="E32" s="25">
        <f>SUM('Label Serving Size'!E32*4+E137*4+E140+E141+E144+E145)</f>
        <v>36</v>
      </c>
      <c r="F32" s="24">
        <f>SUM('Label Serving Size'!F32*4+F137*4+F140+F141+F144+F145)</f>
        <v>20</v>
      </c>
      <c r="G32" s="25">
        <f>SUM('Label Serving Size'!G32*4+G137*4+G140+G141+G144+G145)</f>
        <v>0</v>
      </c>
      <c r="H32" s="24">
        <f>SUM('Label Serving Size'!H32*4+H137*4+H140+H141+H144+H145)</f>
        <v>120</v>
      </c>
      <c r="I32" s="25">
        <f>SUM('Label Serving Size'!I32*4+I137*4+I140+I141+I144+I145)</f>
        <v>845.55555555555554</v>
      </c>
      <c r="J32" s="24">
        <f>SUM('Label Serving Size'!J32*4+J137*4+J140+J141+J144+J145)</f>
        <v>25.666666666666668</v>
      </c>
      <c r="K32" s="25">
        <f>SUM('Label Serving Size'!K32*4+K137*4+K140+K141+K144+K145)</f>
        <v>8.3333333333333321</v>
      </c>
      <c r="L32" s="24">
        <f>SUM('Label Serving Size'!L32*4+L137*4+L140+L141+L144+L145)</f>
        <v>14</v>
      </c>
      <c r="M32" s="25">
        <f>SUM('Label Serving Size'!M32*4+M137*4+M140+M141+M144+M145)</f>
        <v>36.777777777777779</v>
      </c>
      <c r="N32" s="24">
        <f>SUM('Label Serving Size'!N32*4+N137*4+N140+N141+N144+N145)</f>
        <v>78</v>
      </c>
      <c r="O32" s="25">
        <f>SUM('Label Serving Size'!O32*4+O137*4+O140+O141+O144+O145)</f>
        <v>80</v>
      </c>
      <c r="P32" s="24">
        <f>SUM('Label Serving Size'!P32*4+P137*4+P140+P141+P144+P145)</f>
        <v>94.888888888888886</v>
      </c>
      <c r="Q32" s="25">
        <f>SUM('Label Serving Size'!Q32*4+Q137*4+Q140+Q141+Q144+Q145)</f>
        <v>22.666666666666668</v>
      </c>
    </row>
    <row r="33" spans="1:18" x14ac:dyDescent="0.25">
      <c r="A33" s="10" t="s">
        <v>52</v>
      </c>
      <c r="B33" s="24">
        <f>SUM('Label Serving Size'!B33*4+B39+B137*4+B140+B141+B144+B145)</f>
        <v>1036.2222222222222</v>
      </c>
      <c r="C33" s="25">
        <f>SUM('Label Serving Size'!C33*4+C39+C137*4+C140+C141+C144+C145)</f>
        <v>844.99999999999989</v>
      </c>
      <c r="D33" s="24">
        <f>SUM('Label Serving Size'!D33*4+D39+D137*4+D140+D141+D144+D145)</f>
        <v>341.5</v>
      </c>
      <c r="E33" s="25">
        <f>SUM('Label Serving Size'!E33*4+E39+E137*4+E140+E141+E144+E145)</f>
        <v>38.333333333333336</v>
      </c>
      <c r="F33" s="24">
        <f>SUM('Label Serving Size'!F33*4+F39+F137*4+F140+F141+F144+F145)</f>
        <v>20</v>
      </c>
      <c r="G33" s="25">
        <f>SUM('Label Serving Size'!G33*4+G39+G137*4+G140+G141+G144+G145)</f>
        <v>0</v>
      </c>
      <c r="H33" s="24">
        <f>SUM('Label Serving Size'!H33*4+H39+H137*4+H140+H141+H144+H145)</f>
        <v>218</v>
      </c>
      <c r="I33" s="25">
        <f>SUM('Label Serving Size'!I33*4+I39+I137*4+I140+I141+I144+I145)</f>
        <v>1929.2222222222222</v>
      </c>
      <c r="J33" s="24">
        <f>SUM('Label Serving Size'!J33*4+J39+J137*4+J140+J141+J144+J145)</f>
        <v>48.999999999999993</v>
      </c>
      <c r="K33" s="25">
        <f>SUM('Label Serving Size'!K33*4+K39+K137*4+K140+K141+K144+K145)</f>
        <v>9</v>
      </c>
      <c r="L33" s="24">
        <f>SUM('Label Serving Size'!L33*4+L39+L137*4+L140+L141+L144+L145)</f>
        <v>14</v>
      </c>
      <c r="M33" s="25">
        <f>SUM('Label Serving Size'!M33*4+M39+M137*4+M140+M141+M144+M145)</f>
        <v>79.777777777777771</v>
      </c>
      <c r="N33" s="24">
        <f>SUM('Label Serving Size'!N33*4+N39+N137*4+N140+N141+N144+N145)</f>
        <v>83</v>
      </c>
      <c r="O33" s="25">
        <f>SUM('Label Serving Size'!O33*4+O39+O137*4+O140+O141+O144+O145)</f>
        <v>84</v>
      </c>
      <c r="P33" s="24">
        <f>SUM('Label Serving Size'!P33*4+P39+P137*4+P140+P141+P144+P145)</f>
        <v>135.2222222222222</v>
      </c>
      <c r="Q33" s="25">
        <f>SUM('Label Serving Size'!Q33*4+Q39+Q137*4+Q140+Q141+Q144+Q145)</f>
        <v>29.333333333333336</v>
      </c>
    </row>
    <row r="34" spans="1:18" x14ac:dyDescent="0.25">
      <c r="A34" s="10" t="s">
        <v>53</v>
      </c>
      <c r="B34" s="24">
        <f>SUM('Label Serving Size'!B34*4+B105+B137*4+B140+B141+B144+B145)</f>
        <v>952.88888888888891</v>
      </c>
      <c r="C34" s="25">
        <f>SUM('Label Serving Size'!C34*4+C105+C137*4+C140+C141+C144+C145)</f>
        <v>691.66666666666663</v>
      </c>
      <c r="D34" s="24">
        <f>SUM('Label Serving Size'!D34*4+D105+D137*4+D140+D141+D144+D145)</f>
        <v>330</v>
      </c>
      <c r="E34" s="25">
        <f>SUM('Label Serving Size'!E34*4+E105+E137*4+E140+E141+E144+E145)</f>
        <v>37</v>
      </c>
      <c r="F34" s="24">
        <f>SUM('Label Serving Size'!F34*4+F105+F137*4+F140+F141+F144+F145)</f>
        <v>20</v>
      </c>
      <c r="G34" s="25">
        <f>SUM('Label Serving Size'!G34*4+G105+G137*4+G140+G141+G144+G145)</f>
        <v>0</v>
      </c>
      <c r="H34" s="24">
        <f>SUM('Label Serving Size'!H34*4+H105+H137*4+H140+H141+H144+H145)</f>
        <v>155</v>
      </c>
      <c r="I34" s="25">
        <f>SUM('Label Serving Size'!I34*4+I105+I137*4+I140+I141+I144+I145)</f>
        <v>1375.5555555555557</v>
      </c>
      <c r="J34" s="24">
        <f>SUM('Label Serving Size'!J34*4+J105+J137*4+J140+J141+J144+J145)</f>
        <v>43.666666666666664</v>
      </c>
      <c r="K34" s="25">
        <f>SUM('Label Serving Size'!K34*4+K105+K137*4+K140+K141+K144+K145)</f>
        <v>10.333333333333334</v>
      </c>
      <c r="L34" s="24">
        <f>SUM('Label Serving Size'!L34*4+L105+L137*4+L140+L141+L144+L145)</f>
        <v>14</v>
      </c>
      <c r="M34" s="25">
        <f>SUM('Label Serving Size'!M34*4+M105+M137*4+M140+M141+M144+M145)</f>
        <v>52.777777777777779</v>
      </c>
      <c r="N34" s="24">
        <f>SUM('Label Serving Size'!N34*4+N105+N137*4+N140+N141+N144+N145)</f>
        <v>80</v>
      </c>
      <c r="O34" s="25">
        <f>SUM('Label Serving Size'!O34*4+O105+O137*4+O140+O141+O144+O145)</f>
        <v>80</v>
      </c>
      <c r="P34" s="24">
        <f>SUM('Label Serving Size'!P34*4+P105+P137*4+P140+P141+P144+P145)</f>
        <v>98.888888888888886</v>
      </c>
      <c r="Q34" s="25">
        <f>SUM('Label Serving Size'!Q34*4+Q105+Q137*4+Q140+Q141+Q144+Q145)</f>
        <v>26.666666666666668</v>
      </c>
    </row>
    <row r="35" spans="1:18" x14ac:dyDescent="0.25">
      <c r="A35" s="10" t="s">
        <v>54</v>
      </c>
      <c r="B35" s="24">
        <f>SUM('Label Serving Size'!B35*4+B39+B48+B130*4+B137*2+B140+B141+B144+B145)</f>
        <v>1160.2222222222224</v>
      </c>
      <c r="C35" s="25">
        <f>SUM('Label Serving Size'!C35*4+C39+C48+C130*4+C137*2+C140+C141+C144+C145)</f>
        <v>1365</v>
      </c>
      <c r="D35" s="24">
        <f>SUM('Label Serving Size'!D35*4+D39+D48+D130*4+D137*2+D140+D141+D144+D145)</f>
        <v>861.5</v>
      </c>
      <c r="E35" s="25">
        <f>SUM('Label Serving Size'!E35*4+E39+E48+E130*4+E137*2+E140+E141+E144+E145)</f>
        <v>98.333333333333329</v>
      </c>
      <c r="F35" s="24">
        <f>SUM('Label Serving Size'!F35*4+F39+F48+F130*4+F137*2+F140+F141+F144+F145)</f>
        <v>20</v>
      </c>
      <c r="G35" s="25">
        <f>SUM('Label Serving Size'!G35*4+G39+G48+G130*4+G137*2+G140+G141+G144+G145)</f>
        <v>1</v>
      </c>
      <c r="H35" s="24">
        <f>SUM('Label Serving Size'!H35*4+H39+H48+H130*4+H137*2+H140+H141+H144+H145)</f>
        <v>198</v>
      </c>
      <c r="I35" s="25">
        <f>SUM('Label Serving Size'!I35*4+I39+I48+I130*4+I137*2+I140+I141+I144+I145)</f>
        <v>3499.2222222222222</v>
      </c>
      <c r="J35" s="24">
        <f>SUM('Label Serving Size'!J35*4+J39+J48+J130*4+J137*2+J140+J141+J144+J145)</f>
        <v>52.999999999999993</v>
      </c>
      <c r="K35" s="25">
        <f>SUM('Label Serving Size'!K35*4+K39+K48+K130*4+K137*2+K140+K141+K144+K145)</f>
        <v>9</v>
      </c>
      <c r="L35" s="24">
        <f>SUM('Label Serving Size'!L35*4+L39+L48+L130*4+L137*2+L140+L141+L144+L145)</f>
        <v>18</v>
      </c>
      <c r="M35" s="25">
        <f>SUM('Label Serving Size'!M35*4+M39+M48+M130*4+M137*2+M140+M141+M144+M145)</f>
        <v>69.777777777777771</v>
      </c>
      <c r="N35" s="24">
        <f>SUM('Label Serving Size'!N35*4+N39+N48+N130*4+N137*2+N140+N141+N144+N145)</f>
        <v>79.3</v>
      </c>
      <c r="O35" s="25">
        <f>SUM('Label Serving Size'!O35*4+O39+O48+O130*4+O137*2+O140+O141+O144+O145)</f>
        <v>84.039999999999992</v>
      </c>
      <c r="P35" s="24">
        <f>SUM('Label Serving Size'!P35*4+P39+P48+P130*4+P137*2+P140+P141+P144+P145)</f>
        <v>95.222222222222214</v>
      </c>
      <c r="Q35" s="25">
        <f>SUM('Label Serving Size'!Q35*4+Q39+Q48+Q130*4+Q137*2+Q140+Q141+Q144+Q145)</f>
        <v>29.333333333333336</v>
      </c>
    </row>
    <row r="36" spans="1:18" x14ac:dyDescent="0.25">
      <c r="A36" s="10" t="s">
        <v>55</v>
      </c>
      <c r="B36" s="24">
        <f>SUM('Label Serving Size'!B36*4+B39+B133+B137*4+B140+B141+B144)</f>
        <v>980.22222222222229</v>
      </c>
      <c r="C36" s="25">
        <f>SUM('Label Serving Size'!C36*4+C39+C133+C137*4+C140+C141+C144)</f>
        <v>1045</v>
      </c>
      <c r="D36" s="24">
        <f>SUM('Label Serving Size'!D36*4+D39+D133+D137*4+D140+D141+D144)</f>
        <v>541.5</v>
      </c>
      <c r="E36" s="25">
        <f>SUM('Label Serving Size'!E36*4+E39+E133+E137*4+E140+E141+E144)</f>
        <v>61.333333333333329</v>
      </c>
      <c r="F36" s="24">
        <f>SUM('Label Serving Size'!F36*4+F39+F133+F137*4+F140+F141+F144)</f>
        <v>23.5</v>
      </c>
      <c r="G36" s="25">
        <f>SUM('Label Serving Size'!G36*4+G39+G133+G137*4+G140+G141+G144)</f>
        <v>0</v>
      </c>
      <c r="H36" s="24">
        <f>SUM('Label Serving Size'!H36*4+H39+H133+H137*4+H140+H141+H144)</f>
        <v>218</v>
      </c>
      <c r="I36" s="25">
        <f>SUM('Label Serving Size'!I36*4+I39+I133+I137*4+I140+I141+I144)</f>
        <v>2349.2222222222222</v>
      </c>
      <c r="J36" s="24">
        <f>SUM('Label Serving Size'!J36*4+J39+J133+J137*4+J140+J141+J144)</f>
        <v>48.999999999999993</v>
      </c>
      <c r="K36" s="25">
        <f>SUM('Label Serving Size'!K36*4+K39+K133+K137*4+K140+K141+K144)</f>
        <v>8</v>
      </c>
      <c r="L36" s="24">
        <f>SUM('Label Serving Size'!L36*4+L39+L133+L137*4+L140+L141+L144)</f>
        <v>15</v>
      </c>
      <c r="M36" s="25">
        <f>SUM('Label Serving Size'!M36*4+M39+M133+M137*4+M140+M141+M144)</f>
        <v>79.777777777777771</v>
      </c>
      <c r="N36" s="24">
        <f>SUM('Label Serving Size'!N36*4+N39+N133+N137*4+N140+N141+N144)</f>
        <v>81</v>
      </c>
      <c r="O36" s="25">
        <f>SUM('Label Serving Size'!O36*4+O39+O133+O137*4+O140+O141+O144)</f>
        <v>74</v>
      </c>
      <c r="P36" s="24">
        <f>SUM('Label Serving Size'!P36*4+P39+P133+P137*4+P140+P141+P144)</f>
        <v>135.2222222222222</v>
      </c>
      <c r="Q36" s="25">
        <f>SUM('Label Serving Size'!Q36*4+Q39+Q133+Q137*4+Q140+Q141+Q144)</f>
        <v>27.333333333333336</v>
      </c>
    </row>
    <row r="37" spans="1:18" x14ac:dyDescent="0.25">
      <c r="A37" s="10" t="s">
        <v>138</v>
      </c>
      <c r="B37" s="24">
        <f>SUM('Label Serving Size'!B37*4+B39+B124+B125*2+B137*4+B140+B141+B143+B144+B147)</f>
        <v>1086.2544802867385</v>
      </c>
      <c r="C37" s="25">
        <f>SUM('Label Serving Size'!C37*4+C39+C124+C125*2+C137*4+C140+C141+C143+C144+C147)</f>
        <v>1000.8064516129031</v>
      </c>
      <c r="D37" s="24">
        <f>SUM('Label Serving Size'!D37*4+D39+D124+D125*2+D137*4+D140+D141+D143+D144+D147)</f>
        <v>444.72580645161293</v>
      </c>
      <c r="E37" s="25">
        <f>SUM('Label Serving Size'!E37*4+E39+E124+E125*2+E137*4+E140+E141+E143+E144+E147)</f>
        <v>48.655913978494624</v>
      </c>
      <c r="F37" s="24">
        <f>SUM('Label Serving Size'!F37*4+F39+F124+F125*2+F137*4+F140+F141+F143+F144+F147)</f>
        <v>27</v>
      </c>
      <c r="G37" s="25">
        <f>SUM('Label Serving Size'!G37*4+G39+G124+G125*2+G137*4+G140+G141+G143+G144+G147)</f>
        <v>0</v>
      </c>
      <c r="H37" s="24">
        <f>SUM('Label Serving Size'!H37*4+H39+H124+H125*2+H137*4+H140+H141+H143+H144+H147)</f>
        <v>248</v>
      </c>
      <c r="I37" s="25">
        <f>SUM('Label Serving Size'!I37*4+I39+I124+I125*2+I137*4+I140+I141+I143+I144+I147)</f>
        <v>2747.4480286738349</v>
      </c>
      <c r="J37" s="24">
        <f>SUM('Label Serving Size'!J37*4+J39+J124+J125*2+J137*4+J140+J141+J143+J144+J147)</f>
        <v>60.129032258064505</v>
      </c>
      <c r="K37" s="25">
        <f>SUM('Label Serving Size'!K37*4+K39+K124+K125*2+K137*4+K140+K141+K143+K144+K147)</f>
        <v>10.32258064516129</v>
      </c>
      <c r="L37" s="24">
        <f>SUM('Label Serving Size'!L37*4+L39+L124+L125*2+L137*4+L140+L141+L143+L144+L147)</f>
        <v>17.612903225806452</v>
      </c>
      <c r="M37" s="25">
        <f>SUM('Label Serving Size'!M37*4+M39+M124+M125*2+M137*4+M140+M141+M143+M144+M147)</f>
        <v>81.745519713261643</v>
      </c>
      <c r="N37" s="24">
        <f>SUM('Label Serving Size'!N37*4+N39+N124+N125*2+N137*4+N140+N141+N143+N144+N147)</f>
        <v>95</v>
      </c>
      <c r="O37" s="25">
        <f>SUM('Label Serving Size'!O37*4+O39+O124+O125*2+O137*4+O140+O141+O143+O144+O147)</f>
        <v>85.290322580645167</v>
      </c>
      <c r="P37" s="24">
        <f>SUM('Label Serving Size'!P37*4+P39+P124+P125*2+P137*4+P140+P141+P143+P144+P147)</f>
        <v>147.2222222222222</v>
      </c>
      <c r="Q37" s="28">
        <f>SUM('Label Serving Size'!Q37*4+Q39+Q124+Q125*2+Q137*4+Q140+Q141+Q143+Q144+Q147)</f>
        <v>31.333333333333336</v>
      </c>
    </row>
    <row r="38" spans="1:18" ht="20.399999999999999" x14ac:dyDescent="0.35">
      <c r="A38" s="36" t="s">
        <v>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3"/>
    </row>
    <row r="39" spans="1:18" x14ac:dyDescent="0.25">
      <c r="A39" s="8" t="s">
        <v>56</v>
      </c>
      <c r="B39" s="24">
        <f>(SUM('Label Serving Size'!B39)/2.5)*5+SUM('Label Serving Size'!B151/3)</f>
        <v>203.33333333333334</v>
      </c>
      <c r="C39" s="25">
        <f>(SUM('Label Serving Size'!C39)/2.5)*5+SUM('Label Serving Size'!C151/3)</f>
        <v>293.33333333333331</v>
      </c>
      <c r="D39" s="24">
        <f>(SUM('Label Serving Size'!D39)/2.5)*5+SUM('Label Serving Size'!D151/3)</f>
        <v>21.5</v>
      </c>
      <c r="E39" s="25">
        <f>(SUM('Label Serving Size'!E39)/2.5)*5+SUM('Label Serving Size'!E151/3)</f>
        <v>2.3333333333333335</v>
      </c>
      <c r="F39" s="24">
        <f>(SUM('Label Serving Size'!F39)/2.5)*5+SUM('Label Serving Size'!F151/3)</f>
        <v>0</v>
      </c>
      <c r="G39" s="25">
        <f>(SUM('Label Serving Size'!G39)/2.5)*5+SUM('Label Serving Size'!G151/3)</f>
        <v>0</v>
      </c>
      <c r="H39" s="24">
        <f>(SUM('Label Serving Size'!H39)/2.5)*5+SUM('Label Serving Size'!H151/3)</f>
        <v>98</v>
      </c>
      <c r="I39" s="25">
        <f>(SUM('Label Serving Size'!I39)/2.5)*5+SUM('Label Serving Size'!I151/3)</f>
        <v>1083.6666666666665</v>
      </c>
      <c r="J39" s="24">
        <f>(SUM('Label Serving Size'!J39)/2.5)*5+SUM('Label Serving Size'!J151/3)</f>
        <v>23.333333333333332</v>
      </c>
      <c r="K39" s="25">
        <f>(SUM('Label Serving Size'!K39)/2.5)*5+SUM('Label Serving Size'!K151/3)</f>
        <v>0.66666666666666663</v>
      </c>
      <c r="L39" s="24">
        <f>(SUM('Label Serving Size'!L39)/2.5)*5+SUM('Label Serving Size'!L151/3)</f>
        <v>0</v>
      </c>
      <c r="M39" s="25">
        <f>(SUM('Label Serving Size'!M39)/2.5)*5+SUM('Label Serving Size'!M151/3)</f>
        <v>43</v>
      </c>
      <c r="N39" s="24">
        <f>(SUM('Label Serving Size'!N39)/2.5)*5+SUM('Label Serving Size'!N151/3)</f>
        <v>5</v>
      </c>
      <c r="O39" s="25">
        <f>(SUM('Label Serving Size'!O39)/2.5)*5+SUM('Label Serving Size'!O151/3)</f>
        <v>4</v>
      </c>
      <c r="P39" s="24">
        <f>(SUM('Label Serving Size'!P39)/2.5)*5+SUM('Label Serving Size'!P151/3)</f>
        <v>40.333333333333329</v>
      </c>
      <c r="Q39" s="25">
        <f>(SUM('Label Serving Size'!Q39)/2.5)*5+SUM('Label Serving Size'!Q151/3)</f>
        <v>6.666666666666667</v>
      </c>
    </row>
    <row r="40" spans="1:18" x14ac:dyDescent="0.25">
      <c r="A40" s="10" t="s">
        <v>150</v>
      </c>
      <c r="B40" s="24">
        <f>(SUM('Label Serving Size'!B40)/2.5)*8+SUM('Label Serving Size'!B151/2.5)</f>
        <v>312</v>
      </c>
      <c r="C40" s="25">
        <f>(SUM('Label Serving Size'!C40)/2.5)*8+SUM('Label Serving Size'!C151/2.5)</f>
        <v>427.20000000000005</v>
      </c>
      <c r="D40" s="24">
        <f>(SUM('Label Serving Size'!D40)/2.5)*8+SUM('Label Serving Size'!D151/2.5)</f>
        <v>33</v>
      </c>
      <c r="E40" s="25">
        <f>(SUM('Label Serving Size'!E40)/2.5)*8+SUM('Label Serving Size'!E151/2.5)</f>
        <v>3.6</v>
      </c>
      <c r="F40" s="24">
        <f>(SUM('Label Serving Size'!F40)/2.5)*8+SUM('Label Serving Size'!F151/2.5)</f>
        <v>0</v>
      </c>
      <c r="G40" s="25">
        <f>(SUM('Label Serving Size'!G40)/2.5)*8+SUM('Label Serving Size'!G151/2.5)</f>
        <v>0</v>
      </c>
      <c r="H40" s="24">
        <f>(SUM('Label Serving Size'!H40)/2.5)*8+SUM('Label Serving Size'!H151/2.5)</f>
        <v>156.80000000000001</v>
      </c>
      <c r="I40" s="25">
        <f>(SUM('Label Serving Size'!I40)/2.5)*8+SUM('Label Serving Size'!I151/2.5)</f>
        <v>1344.4</v>
      </c>
      <c r="J40" s="24">
        <f>(SUM('Label Serving Size'!J40)/2.5)*8+SUM('Label Serving Size'!J151/2.5)</f>
        <v>28</v>
      </c>
      <c r="K40" s="25">
        <f>(SUM('Label Serving Size'!K40)/2.5)*8+SUM('Label Serving Size'!K151/2.5)</f>
        <v>0.8</v>
      </c>
      <c r="L40" s="24">
        <f>(SUM('Label Serving Size'!L40)/2.5)*8+SUM('Label Serving Size'!L151/2.5)</f>
        <v>0</v>
      </c>
      <c r="M40" s="25">
        <f>(SUM('Label Serving Size'!M40)/2.5)*8+SUM('Label Serving Size'!M151/2.5)</f>
        <v>67.599999999999994</v>
      </c>
      <c r="N40" s="24">
        <f>(SUM('Label Serving Size'!N40)/2.5)*8+SUM('Label Serving Size'!N151/2.5)</f>
        <v>6</v>
      </c>
      <c r="O40" s="25">
        <f>(SUM('Label Serving Size'!O40)/2.5)*8+SUM('Label Serving Size'!O151/2.5)</f>
        <v>6.4</v>
      </c>
      <c r="P40" s="24">
        <f>(SUM('Label Serving Size'!P40)/2.5)*8+SUM('Label Serving Size'!P151/2.5)</f>
        <v>55.6</v>
      </c>
      <c r="Q40" s="25">
        <f>(SUM('Label Serving Size'!Q40)/2.5)*8+SUM('Label Serving Size'!Q151/2.5)</f>
        <v>10.4</v>
      </c>
    </row>
    <row r="41" spans="1:18" x14ac:dyDescent="0.25">
      <c r="A41" s="10" t="s">
        <v>153</v>
      </c>
      <c r="B41" s="24">
        <f>(SUM('Label Serving Size'!B41)/2.5)*12+SUM('Label Serving Size'!B151/2)</f>
        <v>458</v>
      </c>
      <c r="C41" s="25">
        <f>(SUM('Label Serving Size'!C41)/2.5)*12+SUM('Label Serving Size'!C151/2)</f>
        <v>609.20000000000005</v>
      </c>
      <c r="D41" s="24">
        <f>(SUM('Label Serving Size'!D41)/2.5)*12+SUM('Label Serving Size'!D151/2)</f>
        <v>48.45</v>
      </c>
      <c r="E41" s="25">
        <f>(SUM('Label Serving Size'!E41)/2.5)*12+SUM('Label Serving Size'!E151/2)</f>
        <v>5.3000000000000007</v>
      </c>
      <c r="F41" s="24">
        <f>(SUM('Label Serving Size'!F41)/2.5)*12+SUM('Label Serving Size'!F151/2)</f>
        <v>0</v>
      </c>
      <c r="G41" s="25">
        <f>(SUM('Label Serving Size'!G41)/2.5)*12+SUM('Label Serving Size'!G151/2)</f>
        <v>0</v>
      </c>
      <c r="H41" s="24">
        <f>(SUM('Label Serving Size'!H41)/2.5)*12+SUM('Label Serving Size'!H151/2)</f>
        <v>235.20000000000002</v>
      </c>
      <c r="I41" s="25">
        <f>(SUM('Label Serving Size'!I41)/2.5)*12+SUM('Label Serving Size'!I151/2)</f>
        <v>1724.5</v>
      </c>
      <c r="J41" s="24">
        <f>(SUM('Label Serving Size'!J41)/2.5)*12+SUM('Label Serving Size'!J151/2)</f>
        <v>35</v>
      </c>
      <c r="K41" s="25">
        <f>(SUM('Label Serving Size'!K41)/2.5)*12+SUM('Label Serving Size'!K151/2)</f>
        <v>1</v>
      </c>
      <c r="L41" s="24">
        <f>(SUM('Label Serving Size'!L41)/2.5)*12+SUM('Label Serving Size'!L151/2)</f>
        <v>0</v>
      </c>
      <c r="M41" s="25">
        <f>(SUM('Label Serving Size'!M41)/2.5)*12+SUM('Label Serving Size'!M151/2)</f>
        <v>100.5</v>
      </c>
      <c r="N41" s="24">
        <f>(SUM('Label Serving Size'!N41)/2.5)*12+SUM('Label Serving Size'!N151/2)</f>
        <v>7.5</v>
      </c>
      <c r="O41" s="25">
        <f>(SUM('Label Serving Size'!O41)/2.5)*12+SUM('Label Serving Size'!O151/2)</f>
        <v>9.6000000000000014</v>
      </c>
      <c r="P41" s="24">
        <f>(SUM('Label Serving Size'!P41)/2.5)*12+SUM('Label Serving Size'!P151/2)</f>
        <v>76.7</v>
      </c>
      <c r="Q41" s="25">
        <f>(SUM('Label Serving Size'!Q41)/2.5)*12+SUM('Label Serving Size'!Q151/2)</f>
        <v>15.399999999999999</v>
      </c>
    </row>
    <row r="42" spans="1:18" ht="20.399999999999999" x14ac:dyDescent="0.35">
      <c r="A42" s="36" t="s">
        <v>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</row>
    <row r="43" spans="1:18" x14ac:dyDescent="0.25">
      <c r="A43" s="8" t="s">
        <v>57</v>
      </c>
      <c r="B43" s="24">
        <f>(SUM('Label Serving Size'!B43)/2.5)*5</f>
        <v>200</v>
      </c>
      <c r="C43" s="25">
        <f>(SUM('Label Serving Size'!C43)/2.5)*5</f>
        <v>444</v>
      </c>
      <c r="D43" s="24">
        <f>(SUM('Label Serving Size'!D43)/2.5)*5</f>
        <v>288</v>
      </c>
      <c r="E43" s="25">
        <f>(SUM('Label Serving Size'!E43)/2.5)*5</f>
        <v>31.939999999999998</v>
      </c>
      <c r="F43" s="24">
        <f>(SUM('Label Serving Size'!F43)/2.5)*5</f>
        <v>8.9600000000000009</v>
      </c>
      <c r="G43" s="25">
        <f>(SUM('Label Serving Size'!G43)/2.5)*5</f>
        <v>0.38</v>
      </c>
      <c r="H43" s="24">
        <f>(SUM('Label Serving Size'!H43)/2.5)*5</f>
        <v>154</v>
      </c>
      <c r="I43" s="25">
        <f>(SUM('Label Serving Size'!I43)/2.5)*5</f>
        <v>146</v>
      </c>
      <c r="J43" s="24">
        <f>(SUM('Label Serving Size'!J43)/2.5)*5</f>
        <v>0</v>
      </c>
      <c r="K43" s="25">
        <f>(SUM('Label Serving Size'!K43)/2.5)*5</f>
        <v>0</v>
      </c>
      <c r="L43" s="24">
        <f>(SUM('Label Serving Size'!L43)/2.5)*5</f>
        <v>0</v>
      </c>
      <c r="M43" s="25">
        <f>(SUM('Label Serving Size'!M43)/2.5)*5</f>
        <v>36.6</v>
      </c>
      <c r="N43" s="24">
        <f>(SUM('Label Serving Size'!N43)/2.5)*5</f>
        <v>5.88</v>
      </c>
      <c r="O43" s="25">
        <f>(SUM('Label Serving Size'!O43)/2.5)*5</f>
        <v>2.34</v>
      </c>
      <c r="P43" s="24">
        <f>(SUM('Label Serving Size'!P43)/2.5)*5</f>
        <v>2.4</v>
      </c>
      <c r="Q43" s="25">
        <f>(SUM('Label Serving Size'!Q43)/2.5)*5</f>
        <v>10.56</v>
      </c>
    </row>
    <row r="44" spans="1:18" x14ac:dyDescent="0.25">
      <c r="A44" s="10" t="s">
        <v>151</v>
      </c>
      <c r="B44" s="24">
        <f>(SUM('Label Serving Size'!B44)/2.5)*8</f>
        <v>320</v>
      </c>
      <c r="C44" s="25">
        <f>(SUM('Label Serving Size'!C44)/2.5)*8</f>
        <v>710.4</v>
      </c>
      <c r="D44" s="24">
        <f>(SUM('Label Serving Size'!D44)/2.5)*8</f>
        <v>460.8</v>
      </c>
      <c r="E44" s="25">
        <f>(SUM('Label Serving Size'!E44)/2.5)*8</f>
        <v>51.103999999999999</v>
      </c>
      <c r="F44" s="24">
        <f>(SUM('Label Serving Size'!F44)/2.5)*8</f>
        <v>14.336000000000002</v>
      </c>
      <c r="G44" s="25">
        <f>(SUM('Label Serving Size'!G44)/2.5)*8</f>
        <v>0.60799999999999998</v>
      </c>
      <c r="H44" s="24">
        <f>(SUM('Label Serving Size'!H44)/2.5)*8</f>
        <v>246.4</v>
      </c>
      <c r="I44" s="25">
        <f>(SUM('Label Serving Size'!I44)/2.5)*8</f>
        <v>233.6</v>
      </c>
      <c r="J44" s="24">
        <f>(SUM('Label Serving Size'!J44)/2.5)*8</f>
        <v>0</v>
      </c>
      <c r="K44" s="25">
        <f>(SUM('Label Serving Size'!K44)/2.5)*8</f>
        <v>0</v>
      </c>
      <c r="L44" s="24">
        <f>(SUM('Label Serving Size'!L44)/2.5)*8</f>
        <v>0</v>
      </c>
      <c r="M44" s="25">
        <f>(SUM('Label Serving Size'!M44)/2.5)*8</f>
        <v>58.56</v>
      </c>
      <c r="N44" s="24">
        <f>(SUM('Label Serving Size'!N44)/2.5)*8</f>
        <v>9.4079999999999995</v>
      </c>
      <c r="O44" s="25">
        <f>(SUM('Label Serving Size'!O44)/2.5)*8</f>
        <v>3.7439999999999998</v>
      </c>
      <c r="P44" s="24">
        <f>(SUM('Label Serving Size'!P44)/2.5)*8</f>
        <v>3.84</v>
      </c>
      <c r="Q44" s="25">
        <f>(SUM('Label Serving Size'!Q44)/2.5)*8</f>
        <v>16.896000000000001</v>
      </c>
    </row>
    <row r="45" spans="1:18" x14ac:dyDescent="0.25">
      <c r="A45" s="10" t="s">
        <v>152</v>
      </c>
      <c r="B45" s="24">
        <f>(SUM('Label Serving Size'!B45)/2.5)*12</f>
        <v>480</v>
      </c>
      <c r="C45" s="25">
        <f>(SUM('Label Serving Size'!C45)/2.5)*12</f>
        <v>1065.5999999999999</v>
      </c>
      <c r="D45" s="24">
        <f>(SUM('Label Serving Size'!D45)/2.5)*12</f>
        <v>691.2</v>
      </c>
      <c r="E45" s="25">
        <f>(SUM('Label Serving Size'!E45)/2.5)*12</f>
        <v>76.656000000000006</v>
      </c>
      <c r="F45" s="24">
        <f>(SUM('Label Serving Size'!F45)/2.5)*12</f>
        <v>21.504000000000005</v>
      </c>
      <c r="G45" s="25">
        <f>(SUM('Label Serving Size'!G45)/2.5)*12</f>
        <v>0.91199999999999992</v>
      </c>
      <c r="H45" s="24">
        <f>(SUM('Label Serving Size'!H45)/2.5)*12</f>
        <v>369.6</v>
      </c>
      <c r="I45" s="25">
        <f>(SUM('Label Serving Size'!I45)/2.5)*12</f>
        <v>350.4</v>
      </c>
      <c r="J45" s="24">
        <f>(SUM('Label Serving Size'!J45)/2.5)*12</f>
        <v>0</v>
      </c>
      <c r="K45" s="25">
        <f>(SUM('Label Serving Size'!K45)/2.5)*12</f>
        <v>0</v>
      </c>
      <c r="L45" s="24">
        <f>(SUM('Label Serving Size'!L45)/2.5)*12</f>
        <v>0</v>
      </c>
      <c r="M45" s="25">
        <f>(SUM('Label Serving Size'!M45)/2.5)*12</f>
        <v>87.84</v>
      </c>
      <c r="N45" s="24">
        <f>(SUM('Label Serving Size'!N45)/2.5)*12</f>
        <v>14.111999999999998</v>
      </c>
      <c r="O45" s="25">
        <f>(SUM('Label Serving Size'!O45)/2.5)*12</f>
        <v>5.6159999999999997</v>
      </c>
      <c r="P45" s="24">
        <f>(SUM('Label Serving Size'!P45)/2.5)*12</f>
        <v>5.76</v>
      </c>
      <c r="Q45" s="25">
        <f>(SUM('Label Serving Size'!Q45)/2.5)*12</f>
        <v>25.344000000000001</v>
      </c>
    </row>
    <row r="46" spans="1:18" ht="20.399999999999999" x14ac:dyDescent="0.35">
      <c r="A46" s="36" t="s">
        <v>36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11"/>
    </row>
    <row r="47" spans="1:18" x14ac:dyDescent="0.25">
      <c r="A47" s="10" t="s">
        <v>58</v>
      </c>
      <c r="B47" s="24">
        <f>SUM('Label Serving Size'!B47*2)</f>
        <v>60</v>
      </c>
      <c r="C47" s="25">
        <f>SUM('Label Serving Size'!C47*2)</f>
        <v>240</v>
      </c>
      <c r="D47" s="24">
        <f>SUM('Label Serving Size'!D47*2)</f>
        <v>240</v>
      </c>
      <c r="E47" s="25">
        <f>SUM('Label Serving Size'!E47*2)</f>
        <v>26</v>
      </c>
      <c r="F47" s="24">
        <f>SUM('Label Serving Size'!F47*2)</f>
        <v>5</v>
      </c>
      <c r="G47" s="25">
        <f>SUM('Label Serving Size'!G47*2)</f>
        <v>3</v>
      </c>
      <c r="H47" s="24">
        <f>SUM('Label Serving Size'!H47*2)</f>
        <v>0</v>
      </c>
      <c r="I47" s="25">
        <v>630</v>
      </c>
      <c r="J47" s="24">
        <f>SUM('Label Serving Size'!J47*2)</f>
        <v>2</v>
      </c>
      <c r="K47" s="25">
        <f>SUM('Label Serving Size'!K47*2)</f>
        <v>0</v>
      </c>
      <c r="L47" s="24">
        <f>SUM('Label Serving Size'!L47*2)</f>
        <v>0</v>
      </c>
      <c r="M47" s="25">
        <f>SUM('Label Serving Size'!M47*2)</f>
        <v>0</v>
      </c>
      <c r="N47" s="24">
        <f>SUM('Label Serving Size'!N47*2)</f>
        <v>0.3</v>
      </c>
      <c r="O47" s="25">
        <f>SUM('Label Serving Size'!O47*2)</f>
        <v>0</v>
      </c>
      <c r="P47" s="24">
        <f>SUM('Label Serving Size'!P47*2)</f>
        <v>0</v>
      </c>
      <c r="Q47" s="25">
        <f>SUM('Label Serving Size'!Q47*2)</f>
        <v>0</v>
      </c>
    </row>
    <row r="48" spans="1:18" x14ac:dyDescent="0.25">
      <c r="A48" s="10" t="s">
        <v>59</v>
      </c>
      <c r="B48" s="24">
        <f>SUM('Label Serving Size'!B48*2)</f>
        <v>60</v>
      </c>
      <c r="C48" s="25">
        <f>SUM('Label Serving Size'!C48*2)</f>
        <v>140</v>
      </c>
      <c r="D48" s="24">
        <f>SUM('Label Serving Size'!D48*2)</f>
        <v>120</v>
      </c>
      <c r="E48" s="25">
        <f>SUM('Label Serving Size'!E48*2)</f>
        <v>14</v>
      </c>
      <c r="F48" s="24">
        <f>SUM('Label Serving Size'!F48*2)</f>
        <v>2</v>
      </c>
      <c r="G48" s="25">
        <f>SUM('Label Serving Size'!G48*2)</f>
        <v>1</v>
      </c>
      <c r="H48" s="24">
        <f>SUM('Label Serving Size'!H48*2)</f>
        <v>0</v>
      </c>
      <c r="I48" s="25">
        <v>830</v>
      </c>
      <c r="J48" s="24">
        <f>SUM('Label Serving Size'!J48*2)</f>
        <v>2</v>
      </c>
      <c r="K48" s="25">
        <f>SUM('Label Serving Size'!K48*2)</f>
        <v>0</v>
      </c>
      <c r="L48" s="24">
        <f>SUM('Label Serving Size'!L48*2)</f>
        <v>0</v>
      </c>
      <c r="M48" s="25">
        <f>SUM('Label Serving Size'!M48*2)</f>
        <v>0</v>
      </c>
      <c r="N48" s="24">
        <f>SUM('Label Serving Size'!N48*2)</f>
        <v>0.3</v>
      </c>
      <c r="O48" s="25">
        <f>SUM('Label Serving Size'!O48*2)</f>
        <v>0.04</v>
      </c>
      <c r="P48" s="24">
        <f>SUM('Label Serving Size'!P48*2)</f>
        <v>0</v>
      </c>
      <c r="Q48" s="25">
        <f>SUM('Label Serving Size'!Q48*2)</f>
        <v>0</v>
      </c>
    </row>
    <row r="49" spans="1:17" x14ac:dyDescent="0.25">
      <c r="A49" s="10" t="s">
        <v>60</v>
      </c>
      <c r="B49" s="24">
        <f>SUM('Label Serving Size'!B49*2)</f>
        <v>60</v>
      </c>
      <c r="C49" s="25">
        <f>SUM('Label Serving Size'!C49*2)</f>
        <v>10</v>
      </c>
      <c r="D49" s="24">
        <f>SUM('Label Serving Size'!D49*2)</f>
        <v>0</v>
      </c>
      <c r="E49" s="25">
        <f>SUM('Label Serving Size'!E49*2)</f>
        <v>0</v>
      </c>
      <c r="F49" s="24">
        <f>SUM('Label Serving Size'!F49*2)</f>
        <v>0</v>
      </c>
      <c r="G49" s="25">
        <f>SUM('Label Serving Size'!G49*2)</f>
        <v>0</v>
      </c>
      <c r="H49" s="24">
        <f>SUM('Label Serving Size'!H49*2)</f>
        <v>0</v>
      </c>
      <c r="I49" s="25">
        <v>800</v>
      </c>
      <c r="J49" s="24">
        <f>SUM('Label Serving Size'!J49*2)</f>
        <v>2</v>
      </c>
      <c r="K49" s="25">
        <f>SUM('Label Serving Size'!K49*2)</f>
        <v>0</v>
      </c>
      <c r="L49" s="24">
        <f>SUM('Label Serving Size'!L49*2)</f>
        <v>0</v>
      </c>
      <c r="M49" s="25">
        <f>SUM('Label Serving Size'!M49*2)</f>
        <v>0</v>
      </c>
      <c r="N49" s="24">
        <f>SUM('Label Serving Size'!N49*2)</f>
        <v>0.3</v>
      </c>
      <c r="O49" s="25">
        <f>SUM('Label Serving Size'!O49*2)</f>
        <v>0.04</v>
      </c>
      <c r="P49" s="24">
        <f>SUM('Label Serving Size'!P49*2)</f>
        <v>0</v>
      </c>
      <c r="Q49" s="25">
        <f>SUM('Label Serving Size'!Q49*2)</f>
        <v>0</v>
      </c>
    </row>
    <row r="50" spans="1:17" x14ac:dyDescent="0.25">
      <c r="A50" s="10" t="s">
        <v>61</v>
      </c>
      <c r="B50" s="24">
        <f>SUM('Label Serving Size'!B50*2)</f>
        <v>60</v>
      </c>
      <c r="C50" s="25">
        <f>SUM('Label Serving Size'!C50*2)</f>
        <v>10</v>
      </c>
      <c r="D50" s="24">
        <f>SUM('Label Serving Size'!D50*2)</f>
        <v>0</v>
      </c>
      <c r="E50" s="25">
        <f>SUM('Label Serving Size'!E50*2)</f>
        <v>0</v>
      </c>
      <c r="F50" s="24">
        <f>SUM('Label Serving Size'!F50*2)</f>
        <v>0</v>
      </c>
      <c r="G50" s="25">
        <f>SUM('Label Serving Size'!G50*2)</f>
        <v>0</v>
      </c>
      <c r="H50" s="24">
        <f>SUM('Label Serving Size'!H50*2)</f>
        <v>0</v>
      </c>
      <c r="I50" s="25">
        <v>820</v>
      </c>
      <c r="J50" s="24">
        <f>SUM('Label Serving Size'!J50*2)</f>
        <v>2</v>
      </c>
      <c r="K50" s="25">
        <f>SUM('Label Serving Size'!K50*2)</f>
        <v>0</v>
      </c>
      <c r="L50" s="24">
        <f>SUM('Label Serving Size'!L50*2)</f>
        <v>0</v>
      </c>
      <c r="M50" s="25">
        <f>SUM('Label Serving Size'!M50*2)</f>
        <v>0</v>
      </c>
      <c r="N50" s="24">
        <f>SUM('Label Serving Size'!N50*2)</f>
        <v>30</v>
      </c>
      <c r="O50" s="25">
        <f>SUM('Label Serving Size'!O50*2)</f>
        <v>0</v>
      </c>
      <c r="P50" s="24">
        <f>SUM('Label Serving Size'!P50*2)</f>
        <v>4</v>
      </c>
      <c r="Q50" s="25">
        <f>SUM('Label Serving Size'!Q50*2)</f>
        <v>0</v>
      </c>
    </row>
    <row r="51" spans="1:17" x14ac:dyDescent="0.25">
      <c r="A51" s="10" t="s">
        <v>62</v>
      </c>
      <c r="B51" s="24">
        <f>SUM('Label Serving Size'!B51*2)</f>
        <v>60</v>
      </c>
      <c r="C51" s="25">
        <f>SUM('Label Serving Size'!C51*2)</f>
        <v>20</v>
      </c>
      <c r="D51" s="24">
        <f>SUM('Label Serving Size'!D51*2)</f>
        <v>0</v>
      </c>
      <c r="E51" s="25">
        <f>SUM('Label Serving Size'!E51*2)</f>
        <v>0</v>
      </c>
      <c r="F51" s="24">
        <f>SUM('Label Serving Size'!F51*2)</f>
        <v>0</v>
      </c>
      <c r="G51" s="25">
        <f>SUM('Label Serving Size'!G51*2)</f>
        <v>0</v>
      </c>
      <c r="H51" s="24">
        <f>SUM('Label Serving Size'!H51*2)</f>
        <v>0</v>
      </c>
      <c r="I51" s="25">
        <v>890</v>
      </c>
      <c r="J51" s="24">
        <f>SUM('Label Serving Size'!J51*2)</f>
        <v>2</v>
      </c>
      <c r="K51" s="25">
        <f>SUM('Label Serving Size'!K51*2)</f>
        <v>0</v>
      </c>
      <c r="L51" s="24">
        <f>SUM('Label Serving Size'!L51*2)</f>
        <v>2</v>
      </c>
      <c r="M51" s="25">
        <f>SUM('Label Serving Size'!M51*2)</f>
        <v>0</v>
      </c>
      <c r="N51" s="24">
        <f>SUM('Label Serving Size'!N51*2)</f>
        <v>40</v>
      </c>
      <c r="O51" s="25">
        <f>SUM('Label Serving Size'!O51*2)</f>
        <v>8</v>
      </c>
      <c r="P51" s="24">
        <f>SUM('Label Serving Size'!P51*2)</f>
        <v>4</v>
      </c>
      <c r="Q51" s="25">
        <f>SUM('Label Serving Size'!Q51*2)</f>
        <v>4</v>
      </c>
    </row>
    <row r="52" spans="1:17" x14ac:dyDescent="0.25">
      <c r="A52" s="10" t="s">
        <v>175</v>
      </c>
      <c r="B52" s="24">
        <f>SUM('Label Serving Size'!B52*2)</f>
        <v>60</v>
      </c>
      <c r="C52" s="25">
        <f>SUM('Label Serving Size'!C52*2)</f>
        <v>120</v>
      </c>
      <c r="D52" s="24">
        <f>SUM('Label Serving Size'!D52*2)</f>
        <v>10</v>
      </c>
      <c r="E52" s="25">
        <f>SUM('Label Serving Size'!E52*2)</f>
        <v>1</v>
      </c>
      <c r="F52" s="24">
        <f>SUM('Label Serving Size'!F52*2)</f>
        <v>0</v>
      </c>
      <c r="G52" s="25">
        <f>SUM('Label Serving Size'!G52*2)</f>
        <v>0</v>
      </c>
      <c r="H52" s="24">
        <f>SUM('Label Serving Size'!H52*2)</f>
        <v>0</v>
      </c>
      <c r="I52" s="25">
        <f>SUM('Label Serving Size'!I52*2)</f>
        <v>760</v>
      </c>
      <c r="J52" s="24">
        <f>SUM('Label Serving Size'!J52*2)</f>
        <v>28</v>
      </c>
      <c r="K52" s="25">
        <f>SUM('Label Serving Size'!K52*2)</f>
        <v>0</v>
      </c>
      <c r="L52" s="24">
        <f>SUM('Label Serving Size'!L52*2)</f>
        <v>26</v>
      </c>
      <c r="M52" s="25">
        <f>SUM('Label Serving Size'!M52*2)</f>
        <v>0</v>
      </c>
      <c r="N52" s="24">
        <f>SUM('Label Serving Size'!N52*2)</f>
        <v>0</v>
      </c>
      <c r="O52" s="25">
        <f>SUM('Label Serving Size'!O52*2)</f>
        <v>8</v>
      </c>
      <c r="P52" s="24">
        <f>SUM('Label Serving Size'!P52*2)</f>
        <v>0</v>
      </c>
      <c r="Q52" s="25">
        <f>SUM('Label Serving Size'!Q52*2)</f>
        <v>0</v>
      </c>
    </row>
    <row r="53" spans="1:17" x14ac:dyDescent="0.25">
      <c r="A53" s="10" t="s">
        <v>176</v>
      </c>
      <c r="B53" s="24">
        <f>SUM('Label Serving Size'!B53*2)</f>
        <v>60</v>
      </c>
      <c r="C53" s="25">
        <f>SUM('Label Serving Size'!C53*2)</f>
        <v>120</v>
      </c>
      <c r="D53" s="24">
        <f>SUM('Label Serving Size'!D53*2)</f>
        <v>10</v>
      </c>
      <c r="E53" s="25">
        <f>SUM('Label Serving Size'!E53*2)</f>
        <v>1</v>
      </c>
      <c r="F53" s="24">
        <f>SUM('Label Serving Size'!F53*2)</f>
        <v>0</v>
      </c>
      <c r="G53" s="25">
        <f>SUM('Label Serving Size'!G53*2)</f>
        <v>0</v>
      </c>
      <c r="H53" s="24">
        <f>SUM('Label Serving Size'!H53*2)</f>
        <v>0</v>
      </c>
      <c r="I53" s="25">
        <f>SUM('Label Serving Size'!I53*2)</f>
        <v>760</v>
      </c>
      <c r="J53" s="24">
        <f>SUM('Label Serving Size'!J53*2)</f>
        <v>28</v>
      </c>
      <c r="K53" s="25">
        <f>SUM('Label Serving Size'!K53*2)</f>
        <v>0</v>
      </c>
      <c r="L53" s="24">
        <f>SUM('Label Serving Size'!L53*2)</f>
        <v>26</v>
      </c>
      <c r="M53" s="25">
        <f>SUM('Label Serving Size'!M53*2)</f>
        <v>0</v>
      </c>
      <c r="N53" s="24">
        <f>SUM('Label Serving Size'!N53*2)</f>
        <v>0</v>
      </c>
      <c r="O53" s="25">
        <f>SUM('Label Serving Size'!O53*2)</f>
        <v>8</v>
      </c>
      <c r="P53" s="24">
        <f>SUM('Label Serving Size'!P53*2)</f>
        <v>0</v>
      </c>
      <c r="Q53" s="25">
        <f>SUM('Label Serving Size'!Q53*2)</f>
        <v>0</v>
      </c>
    </row>
    <row r="54" spans="1:17" x14ac:dyDescent="0.25">
      <c r="A54" s="10" t="s">
        <v>63</v>
      </c>
      <c r="B54" s="24">
        <f>SUM('Label Serving Size'!B54*2)</f>
        <v>60</v>
      </c>
      <c r="C54" s="25">
        <f>SUM('Label Serving Size'!C54*2)</f>
        <v>180</v>
      </c>
      <c r="D54" s="24">
        <f>SUM('Label Serving Size'!D54*2)</f>
        <v>80</v>
      </c>
      <c r="E54" s="25">
        <f>SUM('Label Serving Size'!E54*2)</f>
        <v>9</v>
      </c>
      <c r="F54" s="24">
        <f>SUM('Label Serving Size'!F54*2)</f>
        <v>1</v>
      </c>
      <c r="G54" s="25">
        <f>SUM('Label Serving Size'!G54*2)</f>
        <v>0</v>
      </c>
      <c r="H54" s="24">
        <f>SUM('Label Serving Size'!H54*2)</f>
        <v>10</v>
      </c>
      <c r="I54" s="25">
        <f>SUM('Label Serving Size'!I54*2)</f>
        <v>560</v>
      </c>
      <c r="J54" s="24">
        <f>SUM('Label Serving Size'!J54*2)</f>
        <v>24</v>
      </c>
      <c r="K54" s="25">
        <f>SUM('Label Serving Size'!K54*2)</f>
        <v>0</v>
      </c>
      <c r="L54" s="24">
        <f>SUM('Label Serving Size'!L54*2)</f>
        <v>24</v>
      </c>
      <c r="M54" s="25">
        <f>SUM('Label Serving Size'!M54*2)</f>
        <v>0</v>
      </c>
      <c r="N54" s="24">
        <f>SUM('Label Serving Size'!N54*2)</f>
        <v>0</v>
      </c>
      <c r="O54" s="25">
        <f>SUM('Label Serving Size'!O54*2)</f>
        <v>0</v>
      </c>
      <c r="P54" s="24">
        <f>SUM('Label Serving Size'!P54*2)</f>
        <v>0</v>
      </c>
      <c r="Q54" s="25">
        <f>SUM('Label Serving Size'!Q54*2)</f>
        <v>0</v>
      </c>
    </row>
    <row r="55" spans="1:17" x14ac:dyDescent="0.25">
      <c r="A55" s="10" t="s">
        <v>177</v>
      </c>
      <c r="B55" s="24">
        <f>SUM('Label Serving Size'!B55*2)</f>
        <v>60</v>
      </c>
      <c r="C55" s="25">
        <f>SUM('Label Serving Size'!C55*2)</f>
        <v>120</v>
      </c>
      <c r="D55" s="24">
        <f>SUM('Label Serving Size'!D55*2)</f>
        <v>0</v>
      </c>
      <c r="E55" s="25">
        <f>SUM('Label Serving Size'!E55*2)</f>
        <v>0</v>
      </c>
      <c r="F55" s="24">
        <f>SUM('Label Serving Size'!F55*2)</f>
        <v>0</v>
      </c>
      <c r="G55" s="25">
        <f>SUM('Label Serving Size'!G55*2)</f>
        <v>0</v>
      </c>
      <c r="H55" s="24">
        <f>SUM('Label Serving Size'!H55*2)</f>
        <v>0</v>
      </c>
      <c r="I55" s="25">
        <f>SUM('Label Serving Size'!I55*2)</f>
        <v>230</v>
      </c>
      <c r="J55" s="24">
        <f>SUM('Label Serving Size'!J55*2)</f>
        <v>28</v>
      </c>
      <c r="K55" s="25">
        <f>SUM('Label Serving Size'!K55*2)</f>
        <v>0</v>
      </c>
      <c r="L55" s="24">
        <f>SUM('Label Serving Size'!L55*2)</f>
        <v>24</v>
      </c>
      <c r="M55" s="25">
        <f>SUM('Label Serving Size'!M55*2)</f>
        <v>0</v>
      </c>
      <c r="N55" s="24">
        <f>SUM('Label Serving Size'!N55*2)</f>
        <v>0</v>
      </c>
      <c r="O55" s="25">
        <f>SUM('Label Serving Size'!O55*2)</f>
        <v>0</v>
      </c>
      <c r="P55" s="24">
        <f>SUM('Label Serving Size'!P55*2)</f>
        <v>0</v>
      </c>
      <c r="Q55" s="25">
        <f>SUM('Label Serving Size'!Q55*2)</f>
        <v>0</v>
      </c>
    </row>
    <row r="56" spans="1:17" x14ac:dyDescent="0.25">
      <c r="A56" s="10" t="s">
        <v>144</v>
      </c>
      <c r="B56" s="24">
        <f>SUM('Label Serving Size'!B56*2)</f>
        <v>30</v>
      </c>
      <c r="C56" s="25">
        <f>SUM('Label Serving Size'!C56*2)</f>
        <v>60</v>
      </c>
      <c r="D56" s="24">
        <f>SUM('Label Serving Size'!D56*2)</f>
        <v>0</v>
      </c>
      <c r="E56" s="25">
        <f>SUM('Label Serving Size'!E56*2)</f>
        <v>0</v>
      </c>
      <c r="F56" s="24">
        <f>SUM('Label Serving Size'!F56*2)</f>
        <v>0</v>
      </c>
      <c r="G56" s="25">
        <f>SUM('Label Serving Size'!G56*2)</f>
        <v>0</v>
      </c>
      <c r="H56" s="24">
        <f>SUM('Label Serving Size'!H56*2)</f>
        <v>0</v>
      </c>
      <c r="I56" s="25">
        <v>680</v>
      </c>
      <c r="J56" s="24">
        <f>SUM('Label Serving Size'!J56*2)</f>
        <v>12</v>
      </c>
      <c r="K56" s="25">
        <f>SUM('Label Serving Size'!K56*2)</f>
        <v>0</v>
      </c>
      <c r="L56" s="24">
        <f>SUM('Label Serving Size'!L56*2)</f>
        <v>10</v>
      </c>
      <c r="M56" s="25">
        <f>SUM('Label Serving Size'!M56*2)</f>
        <v>0</v>
      </c>
      <c r="N56" s="24">
        <f>SUM('Label Serving Size'!N56*2)</f>
        <v>0</v>
      </c>
      <c r="O56" s="25">
        <f>SUM('Label Serving Size'!O56*2)</f>
        <v>0</v>
      </c>
      <c r="P56" s="24">
        <f>SUM('Label Serving Size'!P56*2)</f>
        <v>0</v>
      </c>
      <c r="Q56" s="25">
        <f>SUM('Label Serving Size'!Q56*2)</f>
        <v>0</v>
      </c>
    </row>
    <row r="57" spans="1:17" x14ac:dyDescent="0.25">
      <c r="A57" s="10" t="s">
        <v>166</v>
      </c>
      <c r="B57" s="24">
        <f>SUM('Label Serving Size'!B57)</f>
        <v>60</v>
      </c>
      <c r="C57" s="25">
        <f>SUM('Label Serving Size'!C57)</f>
        <v>187.4</v>
      </c>
      <c r="D57" s="24">
        <f>SUM('Label Serving Size'!D57)</f>
        <v>1.4</v>
      </c>
      <c r="E57" s="25">
        <f>SUM('Label Serving Size'!E57)</f>
        <v>0.16</v>
      </c>
      <c r="F57" s="24">
        <f>SUM('Label Serving Size'!F57)</f>
        <v>0</v>
      </c>
      <c r="G57" s="25">
        <f>SUM('Label Serving Size'!G57)</f>
        <v>0</v>
      </c>
      <c r="H57" s="24">
        <f>SUM('Label Serving Size'!H57)</f>
        <v>0</v>
      </c>
      <c r="I57" s="25">
        <f>SUM('Label Serving Size'!I57)</f>
        <v>1270</v>
      </c>
      <c r="J57" s="24">
        <f>SUM('Label Serving Size'!J57)</f>
        <v>46.1</v>
      </c>
      <c r="K57" s="25">
        <f>SUM('Label Serving Size'!K57)</f>
        <v>0.84</v>
      </c>
      <c r="L57" s="24">
        <f>SUM('Label Serving Size'!L57)</f>
        <v>39.79</v>
      </c>
      <c r="M57" s="25">
        <f>SUM('Label Serving Size'!M57)</f>
        <v>0.38</v>
      </c>
      <c r="N57" s="24">
        <f>SUM('Label Serving Size'!N57)</f>
        <v>0</v>
      </c>
      <c r="O57" s="25">
        <f>SUM('Label Serving Size'!O57)</f>
        <v>0</v>
      </c>
      <c r="P57" s="24">
        <f>SUM('Label Serving Size'!P57)</f>
        <v>0</v>
      </c>
      <c r="Q57" s="25">
        <f>SUM('Label Serving Size'!Q57)</f>
        <v>0</v>
      </c>
    </row>
    <row r="58" spans="1:17" x14ac:dyDescent="0.25">
      <c r="A58" s="10" t="s">
        <v>64</v>
      </c>
      <c r="B58" s="24">
        <f>SUM('Label Serving Size'!B58*2)</f>
        <v>60</v>
      </c>
      <c r="C58" s="25">
        <f>SUM('Label Serving Size'!C58*2)</f>
        <v>140</v>
      </c>
      <c r="D58" s="24">
        <f>SUM('Label Serving Size'!D58*2)</f>
        <v>120</v>
      </c>
      <c r="E58" s="25">
        <f>SUM('Label Serving Size'!E58*2)</f>
        <v>14</v>
      </c>
      <c r="F58" s="24">
        <f>SUM('Label Serving Size'!F58*2)</f>
        <v>2</v>
      </c>
      <c r="G58" s="25">
        <f>SUM('Label Serving Size'!G58*2)</f>
        <v>1</v>
      </c>
      <c r="H58" s="24">
        <f>SUM('Label Serving Size'!H58*2)</f>
        <v>0</v>
      </c>
      <c r="I58" s="25">
        <v>830</v>
      </c>
      <c r="J58" s="24">
        <f>SUM('Label Serving Size'!J58*2)</f>
        <v>2</v>
      </c>
      <c r="K58" s="25">
        <f>SUM('Label Serving Size'!K58*2)</f>
        <v>0</v>
      </c>
      <c r="L58" s="24">
        <f>SUM('Label Serving Size'!L58*2)</f>
        <v>0</v>
      </c>
      <c r="M58" s="25">
        <f>SUM('Label Serving Size'!M58*2)</f>
        <v>0</v>
      </c>
      <c r="N58" s="24">
        <f>SUM('Label Serving Size'!N58*2)</f>
        <v>0.3</v>
      </c>
      <c r="O58" s="25">
        <f>SUM('Label Serving Size'!O58*2)</f>
        <v>0.04</v>
      </c>
      <c r="P58" s="24">
        <f>SUM('Label Serving Size'!P58*2)</f>
        <v>0</v>
      </c>
      <c r="Q58" s="25">
        <f>SUM('Label Serving Size'!Q58*2)</f>
        <v>0</v>
      </c>
    </row>
    <row r="59" spans="1:17" x14ac:dyDescent="0.25">
      <c r="A59" s="10" t="s">
        <v>70</v>
      </c>
      <c r="B59" s="24">
        <f>SUM('Label Serving Size'!B59*2)</f>
        <v>60</v>
      </c>
      <c r="C59" s="25">
        <f>SUM('Label Serving Size'!C59*2)</f>
        <v>240</v>
      </c>
      <c r="D59" s="24">
        <f>SUM('Label Serving Size'!D59*2)</f>
        <v>240</v>
      </c>
      <c r="E59" s="25">
        <f>SUM('Label Serving Size'!E59*2)</f>
        <v>26</v>
      </c>
      <c r="F59" s="24">
        <f>SUM('Label Serving Size'!F59*2)</f>
        <v>5</v>
      </c>
      <c r="G59" s="25">
        <f>SUM('Label Serving Size'!G59*2)</f>
        <v>3</v>
      </c>
      <c r="H59" s="24">
        <f>SUM('Label Serving Size'!H59*2)</f>
        <v>0</v>
      </c>
      <c r="I59" s="25">
        <v>830</v>
      </c>
      <c r="J59" s="24">
        <f>SUM('Label Serving Size'!J59*2)</f>
        <v>2</v>
      </c>
      <c r="K59" s="25">
        <f>SUM('Label Serving Size'!K59*2)</f>
        <v>0</v>
      </c>
      <c r="L59" s="24">
        <f>SUM('Label Serving Size'!L59*2)</f>
        <v>0</v>
      </c>
      <c r="M59" s="25">
        <f>SUM('Label Serving Size'!M59*2)</f>
        <v>0</v>
      </c>
      <c r="N59" s="24">
        <f>SUM('Label Serving Size'!N59*2)</f>
        <v>0.3</v>
      </c>
      <c r="O59" s="25">
        <f>SUM('Label Serving Size'!O59*2)</f>
        <v>0</v>
      </c>
      <c r="P59" s="24">
        <f>SUM('Label Serving Size'!P59*2)</f>
        <v>0</v>
      </c>
      <c r="Q59" s="25">
        <f>SUM('Label Serving Size'!Q59*2)</f>
        <v>0</v>
      </c>
    </row>
    <row r="60" spans="1:17" x14ac:dyDescent="0.25">
      <c r="A60" s="10" t="s">
        <v>65</v>
      </c>
      <c r="B60" s="24">
        <f>SUM('Label Serving Size'!B60*2)</f>
        <v>60</v>
      </c>
      <c r="C60" s="25">
        <f>SUM('Label Serving Size'!C60*2)</f>
        <v>240</v>
      </c>
      <c r="D60" s="24">
        <f>SUM('Label Serving Size'!D60*2)</f>
        <v>240</v>
      </c>
      <c r="E60" s="25">
        <f>SUM('Label Serving Size'!E60*2)</f>
        <v>26</v>
      </c>
      <c r="F60" s="24">
        <f>SUM('Label Serving Size'!F60*2)</f>
        <v>5</v>
      </c>
      <c r="G60" s="25">
        <f>SUM('Label Serving Size'!G60*2)</f>
        <v>3</v>
      </c>
      <c r="H60" s="24">
        <f>SUM('Label Serving Size'!H60*2)</f>
        <v>0</v>
      </c>
      <c r="I60" s="25">
        <v>630</v>
      </c>
      <c r="J60" s="24">
        <f>SUM('Label Serving Size'!J60*2)</f>
        <v>2</v>
      </c>
      <c r="K60" s="25">
        <f>SUM('Label Serving Size'!K60*2)</f>
        <v>0</v>
      </c>
      <c r="L60" s="24">
        <f>SUM('Label Serving Size'!L60*2)</f>
        <v>0</v>
      </c>
      <c r="M60" s="25">
        <f>SUM('Label Serving Size'!M60*2)</f>
        <v>0</v>
      </c>
      <c r="N60" s="24">
        <f>SUM('Label Serving Size'!N60*2)</f>
        <v>0.3</v>
      </c>
      <c r="O60" s="25">
        <f>SUM('Label Serving Size'!O60*2)</f>
        <v>0</v>
      </c>
      <c r="P60" s="24">
        <f>SUM('Label Serving Size'!P60*2)</f>
        <v>0</v>
      </c>
      <c r="Q60" s="25">
        <f>SUM('Label Serving Size'!Q60*2)</f>
        <v>0</v>
      </c>
    </row>
    <row r="61" spans="1:17" x14ac:dyDescent="0.25">
      <c r="A61" s="10" t="s">
        <v>66</v>
      </c>
      <c r="B61" s="24">
        <f>SUM('Label Serving Size'!B61*2)</f>
        <v>60</v>
      </c>
      <c r="C61" s="25">
        <f>SUM('Label Serving Size'!C61*2)</f>
        <v>245</v>
      </c>
      <c r="D61" s="24">
        <f>SUM('Label Serving Size'!D61*2)</f>
        <v>220</v>
      </c>
      <c r="E61" s="25">
        <f>SUM('Label Serving Size'!E61*2)</f>
        <v>25</v>
      </c>
      <c r="F61" s="24">
        <f>SUM('Label Serving Size'!F61*2)</f>
        <v>5</v>
      </c>
      <c r="G61" s="25">
        <f>SUM('Label Serving Size'!G61*2)</f>
        <v>4.5</v>
      </c>
      <c r="H61" s="24">
        <f>SUM('Label Serving Size'!H61*2)</f>
        <v>0</v>
      </c>
      <c r="I61" s="25">
        <v>830</v>
      </c>
      <c r="J61" s="24">
        <f>SUM('Label Serving Size'!J61*2)</f>
        <v>4</v>
      </c>
      <c r="K61" s="25">
        <f>SUM('Label Serving Size'!K61*2)</f>
        <v>0</v>
      </c>
      <c r="L61" s="24">
        <f>SUM('Label Serving Size'!L61*2)</f>
        <v>1</v>
      </c>
      <c r="M61" s="25">
        <f>SUM('Label Serving Size'!M61*2)</f>
        <v>1</v>
      </c>
      <c r="N61" s="24">
        <f>SUM('Label Serving Size'!N61*2)</f>
        <v>8.15</v>
      </c>
      <c r="O61" s="25">
        <f>SUM('Label Serving Size'!O61*2)</f>
        <v>2.02</v>
      </c>
      <c r="P61" s="24">
        <f>SUM('Label Serving Size'!P61*2)</f>
        <v>0</v>
      </c>
      <c r="Q61" s="25">
        <f>SUM('Label Serving Size'!Q61*2)</f>
        <v>2</v>
      </c>
    </row>
    <row r="62" spans="1:17" x14ac:dyDescent="0.25">
      <c r="A62" s="10" t="s">
        <v>67</v>
      </c>
      <c r="B62" s="24">
        <f>SUM('Label Serving Size'!B62*2)</f>
        <v>60</v>
      </c>
      <c r="C62" s="25">
        <f>SUM('Label Serving Size'!C62*2)</f>
        <v>480</v>
      </c>
      <c r="D62" s="24">
        <f>SUM('Label Serving Size'!D62*2)</f>
        <v>440</v>
      </c>
      <c r="E62" s="25">
        <f>SUM('Label Serving Size'!E62*2)</f>
        <v>50</v>
      </c>
      <c r="F62" s="24">
        <f>SUM('Label Serving Size'!F62*2)</f>
        <v>10</v>
      </c>
      <c r="G62" s="25">
        <f>SUM('Label Serving Size'!G62*2)</f>
        <v>9</v>
      </c>
      <c r="H62" s="24">
        <f>SUM('Label Serving Size'!H62*2)</f>
        <v>0</v>
      </c>
      <c r="I62" s="25">
        <f>SUM('Label Serving Size'!I62*2)</f>
        <v>520</v>
      </c>
      <c r="J62" s="24">
        <f>SUM('Label Serving Size'!J62*2)</f>
        <v>6</v>
      </c>
      <c r="K62" s="25">
        <f>SUM('Label Serving Size'!K62*2)</f>
        <v>0</v>
      </c>
      <c r="L62" s="24">
        <f>SUM('Label Serving Size'!L62*2)</f>
        <v>2</v>
      </c>
      <c r="M62" s="25">
        <f>SUM('Label Serving Size'!M62*2)</f>
        <v>2</v>
      </c>
      <c r="N62" s="24">
        <f>SUM('Label Serving Size'!N62*2)</f>
        <v>16</v>
      </c>
      <c r="O62" s="25">
        <f>SUM('Label Serving Size'!O62*2)</f>
        <v>4</v>
      </c>
      <c r="P62" s="24">
        <f>SUM('Label Serving Size'!P62*2)</f>
        <v>0</v>
      </c>
      <c r="Q62" s="25">
        <f>SUM('Label Serving Size'!Q62*2)</f>
        <v>4</v>
      </c>
    </row>
    <row r="63" spans="1:17" x14ac:dyDescent="0.25">
      <c r="A63" s="10" t="s">
        <v>68</v>
      </c>
      <c r="B63" s="24">
        <f>SUM('Label Serving Size'!B63*2)</f>
        <v>70</v>
      </c>
      <c r="C63" s="25">
        <f>SUM('Label Serving Size'!C63*2)</f>
        <v>520</v>
      </c>
      <c r="D63" s="24">
        <f>SUM('Label Serving Size'!D63*2)</f>
        <v>470</v>
      </c>
      <c r="E63" s="25">
        <f>SUM('Label Serving Size'!E63*2)</f>
        <v>53</v>
      </c>
      <c r="F63" s="24">
        <f>SUM('Label Serving Size'!F63*2)</f>
        <v>12</v>
      </c>
      <c r="G63" s="25">
        <f>SUM('Label Serving Size'!G63*2)</f>
        <v>9</v>
      </c>
      <c r="H63" s="24">
        <f>SUM('Label Serving Size'!H63*2)</f>
        <v>10</v>
      </c>
      <c r="I63" s="25">
        <f>SUM('Label Serving Size'!I63*2)</f>
        <v>690</v>
      </c>
      <c r="J63" s="24">
        <f>SUM('Label Serving Size'!J63*2)</f>
        <v>6</v>
      </c>
      <c r="K63" s="25">
        <f>SUM('Label Serving Size'!K63*2)</f>
        <v>0</v>
      </c>
      <c r="L63" s="24">
        <f>SUM('Label Serving Size'!L63*2)</f>
        <v>2</v>
      </c>
      <c r="M63" s="25">
        <f>SUM('Label Serving Size'!M63*2)</f>
        <v>6</v>
      </c>
      <c r="N63" s="24">
        <f>SUM('Label Serving Size'!N63*2)</f>
        <v>16</v>
      </c>
      <c r="O63" s="25">
        <f>SUM('Label Serving Size'!O63*2)</f>
        <v>4</v>
      </c>
      <c r="P63" s="24">
        <f>SUM('Label Serving Size'!P63*2)</f>
        <v>12</v>
      </c>
      <c r="Q63" s="25">
        <f>SUM('Label Serving Size'!Q63*2)</f>
        <v>4</v>
      </c>
    </row>
    <row r="64" spans="1:17" x14ac:dyDescent="0.25">
      <c r="A64" s="10" t="s">
        <v>69</v>
      </c>
      <c r="B64" s="24">
        <f>SUM('Label Serving Size'!B64*2)</f>
        <v>60</v>
      </c>
      <c r="C64" s="25">
        <f>SUM('Label Serving Size'!C64*2)</f>
        <v>260</v>
      </c>
      <c r="D64" s="24">
        <f>SUM('Label Serving Size'!D64*2)</f>
        <v>260</v>
      </c>
      <c r="E64" s="25">
        <f>SUM('Label Serving Size'!E64*2)</f>
        <v>28</v>
      </c>
      <c r="F64" s="24">
        <f>SUM('Label Serving Size'!F64*2)</f>
        <v>5</v>
      </c>
      <c r="G64" s="25">
        <f>SUM('Label Serving Size'!G64*2)</f>
        <v>0</v>
      </c>
      <c r="H64" s="24">
        <f>SUM('Label Serving Size'!H64*2)</f>
        <v>0</v>
      </c>
      <c r="I64" s="25">
        <f>SUM('Label Serving Size'!I64*2)</f>
        <v>200</v>
      </c>
      <c r="J64" s="24">
        <f>SUM('Label Serving Size'!J64*2)</f>
        <v>0</v>
      </c>
      <c r="K64" s="25">
        <f>SUM('Label Serving Size'!K64*2)</f>
        <v>0</v>
      </c>
      <c r="L64" s="24">
        <f>SUM('Label Serving Size'!L64*2)</f>
        <v>0</v>
      </c>
      <c r="M64" s="25">
        <f>SUM('Label Serving Size'!M64*2)</f>
        <v>0</v>
      </c>
      <c r="N64" s="24">
        <f>SUM('Label Serving Size'!N64*2)</f>
        <v>30</v>
      </c>
      <c r="O64" s="25">
        <f>SUM('Label Serving Size'!O64*2)</f>
        <v>0</v>
      </c>
      <c r="P64" s="24">
        <f>SUM('Label Serving Size'!P64*2)</f>
        <v>0</v>
      </c>
      <c r="Q64" s="25">
        <f>SUM('Label Serving Size'!Q64*2)</f>
        <v>0</v>
      </c>
    </row>
    <row r="65" spans="1:18" ht="20.399999999999999" x14ac:dyDescent="0.35">
      <c r="A65" s="36" t="s">
        <v>18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</row>
    <row r="66" spans="1:18" x14ac:dyDescent="0.25">
      <c r="A66" s="8" t="s">
        <v>159</v>
      </c>
      <c r="B66" s="24">
        <f>SUM('Label Serving Size'!B66*2.4)</f>
        <v>204</v>
      </c>
      <c r="C66" s="25">
        <f>SUM('Label Serving Size'!C66*2.4)</f>
        <v>225.6</v>
      </c>
      <c r="D66" s="24">
        <f>SUM('Label Serving Size'!D66*2.4)</f>
        <v>21.599999999999998</v>
      </c>
      <c r="E66" s="25">
        <f>SUM('Label Serving Size'!E66*2.4)</f>
        <v>2.4</v>
      </c>
      <c r="F66" s="24">
        <f>SUM('Label Serving Size'!F66*2.4)</f>
        <v>0</v>
      </c>
      <c r="G66" s="25">
        <f>SUM('Label Serving Size'!G66*2.4)</f>
        <v>0</v>
      </c>
      <c r="H66" s="24">
        <f>SUM('Label Serving Size'!H66*2.4)</f>
        <v>117.6</v>
      </c>
      <c r="I66" s="25">
        <f>SUM('Label Serving Size'!I66*2.4)</f>
        <v>132</v>
      </c>
      <c r="J66" s="24">
        <f>SUM('Label Serving Size'!J66*2.4)</f>
        <v>0</v>
      </c>
      <c r="K66" s="25">
        <f>SUM('Label Serving Size'!K66*2.4)</f>
        <v>0</v>
      </c>
      <c r="L66" s="24">
        <f>SUM('Label Serving Size'!L66*2.4)</f>
        <v>0</v>
      </c>
      <c r="M66" s="25">
        <f>SUM('Label Serving Size'!M66*2.4)</f>
        <v>48</v>
      </c>
      <c r="N66" s="24">
        <f>SUM('Label Serving Size'!N66*2.4)</f>
        <v>0</v>
      </c>
      <c r="O66" s="25">
        <f>SUM('Label Serving Size'!O66*2.4)</f>
        <v>4.8</v>
      </c>
      <c r="P66" s="24">
        <f>SUM('Label Serving Size'!P66*2.4)</f>
        <v>21.599999999999998</v>
      </c>
      <c r="Q66" s="25">
        <f>SUM('Label Serving Size'!Q66*2.4)</f>
        <v>7.1999999999999993</v>
      </c>
    </row>
    <row r="67" spans="1:18" x14ac:dyDescent="0.25">
      <c r="A67" s="8" t="s">
        <v>158</v>
      </c>
      <c r="B67" s="24">
        <f>SUM('Label Serving Size'!B67*4)</f>
        <v>340</v>
      </c>
      <c r="C67" s="25">
        <f>SUM('Label Serving Size'!C67*4)</f>
        <v>376</v>
      </c>
      <c r="D67" s="24">
        <f>SUM('Label Serving Size'!D67*4)</f>
        <v>36</v>
      </c>
      <c r="E67" s="25">
        <f>SUM('Label Serving Size'!E67*4)</f>
        <v>4</v>
      </c>
      <c r="F67" s="24">
        <f>SUM('Label Serving Size'!F67*4)</f>
        <v>0</v>
      </c>
      <c r="G67" s="25">
        <f>SUM('Label Serving Size'!G67*4)</f>
        <v>0</v>
      </c>
      <c r="H67" s="24">
        <f>SUM('Label Serving Size'!H67*4)</f>
        <v>196</v>
      </c>
      <c r="I67" s="25">
        <f>SUM('Label Serving Size'!I67*4)</f>
        <v>220</v>
      </c>
      <c r="J67" s="24">
        <f>SUM('Label Serving Size'!J67*4)</f>
        <v>0</v>
      </c>
      <c r="K67" s="25">
        <f>SUM('Label Serving Size'!K67*4)</f>
        <v>0</v>
      </c>
      <c r="L67" s="24">
        <f>SUM('Label Serving Size'!L67*4)</f>
        <v>0</v>
      </c>
      <c r="M67" s="25">
        <f>SUM('Label Serving Size'!M67*4)</f>
        <v>80</v>
      </c>
      <c r="N67" s="24">
        <f>SUM('Label Serving Size'!N67*4)</f>
        <v>0</v>
      </c>
      <c r="O67" s="25">
        <f>SUM('Label Serving Size'!O67*4)</f>
        <v>8</v>
      </c>
      <c r="P67" s="24">
        <f>SUM('Label Serving Size'!P67*4)</f>
        <v>36</v>
      </c>
      <c r="Q67" s="25">
        <f>SUM('Label Serving Size'!Q67*4)</f>
        <v>12</v>
      </c>
    </row>
    <row r="68" spans="1:18" x14ac:dyDescent="0.25">
      <c r="A68" s="10" t="s">
        <v>160</v>
      </c>
      <c r="B68" s="24">
        <f>SUM('Label Serving Size'!B68*2.4+'Label Serving Size'!B151/2.8)</f>
        <v>239.71428571428572</v>
      </c>
      <c r="C68" s="25">
        <f>SUM('Label Serving Size'!C68*2.4+'Label Serving Size'!C151/2.8)</f>
        <v>338.45714285714286</v>
      </c>
      <c r="D68" s="24">
        <f>SUM('Label Serving Size'!D68*2.4+'Label Serving Size'!D151/2.8)</f>
        <v>25.349999999999998</v>
      </c>
      <c r="E68" s="25">
        <f>SUM('Label Serving Size'!E68*2.4+'Label Serving Size'!E151/2.8)</f>
        <v>2.7571428571428571</v>
      </c>
      <c r="F68" s="24">
        <f>SUM('Label Serving Size'!F68*2.4+'Label Serving Size'!F151/2.8)</f>
        <v>0</v>
      </c>
      <c r="G68" s="25">
        <f>SUM('Label Serving Size'!G68*2.4+'Label Serving Size'!G151/2.8)</f>
        <v>0</v>
      </c>
      <c r="H68" s="24">
        <f>SUM('Label Serving Size'!H68*2.4+'Label Serving Size'!H151/2.8)</f>
        <v>117.6</v>
      </c>
      <c r="I68" s="25">
        <f>SUM('Label Serving Size'!I68*2.4+'Label Serving Size'!I151/2.8)</f>
        <v>1175.2142857142858</v>
      </c>
      <c r="J68" s="24">
        <f>SUM('Label Serving Size'!J68*2.4+'Label Serving Size'!J151/2.8)</f>
        <v>25</v>
      </c>
      <c r="K68" s="25">
        <f>SUM('Label Serving Size'!K68*2.4+'Label Serving Size'!K151/2.8)</f>
        <v>0.7142857142857143</v>
      </c>
      <c r="L68" s="24">
        <f>SUM('Label Serving Size'!L68*2.4+'Label Serving Size'!L151/2.8)</f>
        <v>0</v>
      </c>
      <c r="M68" s="25">
        <f>SUM('Label Serving Size'!M68*2.4+'Label Serving Size'!M151/2.8)</f>
        <v>51.214285714285715</v>
      </c>
      <c r="N68" s="24">
        <f>SUM('Label Serving Size'!N68*2.4+'Label Serving Size'!N151/2.8)</f>
        <v>5.3571428571428577</v>
      </c>
      <c r="O68" s="25">
        <f>SUM('Label Serving Size'!O68*2.4+'Label Serving Size'!O151/2.8)</f>
        <v>4.8</v>
      </c>
      <c r="P68" s="24">
        <f>SUM('Label Serving Size'!P68*2.4+'Label Serving Size'!P151/2.8)</f>
        <v>45.528571428571425</v>
      </c>
      <c r="Q68" s="28">
        <f>SUM('Label Serving Size'!Q68*2.4+'Label Serving Size'!Q151/2.8)</f>
        <v>7.9142857142857137</v>
      </c>
    </row>
    <row r="69" spans="1:18" x14ac:dyDescent="0.25">
      <c r="A69" s="10" t="s">
        <v>161</v>
      </c>
      <c r="B69" s="24">
        <f>SUM('Label Serving Size'!B69*4+'Label Serving Size'!B151/2.25)</f>
        <v>384.44444444444446</v>
      </c>
      <c r="C69" s="25">
        <f>SUM('Label Serving Size'!C69*4+'Label Serving Size'!C151/2.25)</f>
        <v>516.44444444444446</v>
      </c>
      <c r="D69" s="24">
        <f>SUM('Label Serving Size'!D69*4+'Label Serving Size'!D151/2.25)</f>
        <v>40.666666666666664</v>
      </c>
      <c r="E69" s="25">
        <f>SUM('Label Serving Size'!E69*4+'Label Serving Size'!E151/2.25)</f>
        <v>4.4444444444444446</v>
      </c>
      <c r="F69" s="24">
        <f>SUM('Label Serving Size'!F69*4+'Label Serving Size'!F151/2.25)</f>
        <v>0</v>
      </c>
      <c r="G69" s="25">
        <f>SUM('Label Serving Size'!G69*4+'Label Serving Size'!G151/2.25)</f>
        <v>0</v>
      </c>
      <c r="H69" s="24">
        <f>SUM('Label Serving Size'!H69*4+'Label Serving Size'!H151/2.25)</f>
        <v>196</v>
      </c>
      <c r="I69" s="25">
        <f>SUM('Label Serving Size'!I69*4+'Label Serving Size'!I151/2.25)</f>
        <v>1518.2222222222222</v>
      </c>
      <c r="J69" s="24">
        <f>SUM('Label Serving Size'!J69*4+'Label Serving Size'!J151/2.25)</f>
        <v>31.111111111111111</v>
      </c>
      <c r="K69" s="25">
        <f>SUM('Label Serving Size'!K69*4+'Label Serving Size'!K151/2.25)</f>
        <v>0.88888888888888884</v>
      </c>
      <c r="L69" s="24">
        <f>SUM('Label Serving Size'!L69*4+'Label Serving Size'!L151/2.25)</f>
        <v>0</v>
      </c>
      <c r="M69" s="25">
        <f>SUM('Label Serving Size'!M69*4+'Label Serving Size'!M151/2.25)</f>
        <v>84</v>
      </c>
      <c r="N69" s="24">
        <f>SUM('Label Serving Size'!N69*4+'Label Serving Size'!N151/2.25)</f>
        <v>6.666666666666667</v>
      </c>
      <c r="O69" s="25">
        <f>SUM('Label Serving Size'!O69*4+'Label Serving Size'!O151/2.25)</f>
        <v>8</v>
      </c>
      <c r="P69" s="24">
        <f>SUM('Label Serving Size'!P69*4+'Label Serving Size'!P151/2.25)</f>
        <v>65.777777777777771</v>
      </c>
      <c r="Q69" s="28">
        <f>SUM('Label Serving Size'!Q69*4+'Label Serving Size'!Q151/2.25)</f>
        <v>12.888888888888889</v>
      </c>
    </row>
    <row r="70" spans="1:18" ht="20.399999999999999" x14ac:dyDescent="0.35">
      <c r="A70" s="36" t="s">
        <v>37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3"/>
    </row>
    <row r="71" spans="1:18" x14ac:dyDescent="0.25">
      <c r="A71" s="8" t="s">
        <v>71</v>
      </c>
      <c r="B71" s="24">
        <f>SUM('Label Serving Size'!B71*2)</f>
        <v>168</v>
      </c>
      <c r="C71" s="25">
        <f>SUM('Label Serving Size'!C71*2)</f>
        <v>520</v>
      </c>
      <c r="D71" s="24">
        <f>SUM('Label Serving Size'!D71*2)</f>
        <v>380</v>
      </c>
      <c r="E71" s="25">
        <f>SUM('Label Serving Size'!E71*2)</f>
        <v>42</v>
      </c>
      <c r="F71" s="24">
        <f>SUM('Label Serving Size'!F71*2)</f>
        <v>16</v>
      </c>
      <c r="G71" s="25">
        <f>SUM('Label Serving Size'!G71*2)</f>
        <v>0</v>
      </c>
      <c r="H71" s="24">
        <f>SUM('Label Serving Size'!H71*2)</f>
        <v>150</v>
      </c>
      <c r="I71" s="25">
        <f>SUM('Label Serving Size'!I71*2)</f>
        <v>760</v>
      </c>
      <c r="J71" s="24">
        <f>SUM('Label Serving Size'!J71*2)</f>
        <v>0</v>
      </c>
      <c r="K71" s="25">
        <f>SUM('Label Serving Size'!K71*2)</f>
        <v>0</v>
      </c>
      <c r="L71" s="24">
        <f>SUM('Label Serving Size'!L71*2)</f>
        <v>0</v>
      </c>
      <c r="M71" s="25">
        <f>SUM('Label Serving Size'!M71*2)</f>
        <v>34</v>
      </c>
      <c r="N71" s="24">
        <f>SUM('Label Serving Size'!N71*2)</f>
        <v>0</v>
      </c>
      <c r="O71" s="25">
        <f>SUM('Label Serving Size'!O71*2)</f>
        <v>0</v>
      </c>
      <c r="P71" s="24">
        <f>SUM('Label Serving Size'!P71*2)</f>
        <v>0</v>
      </c>
      <c r="Q71" s="25">
        <f>SUM('Label Serving Size'!Q71*2)</f>
        <v>12</v>
      </c>
    </row>
    <row r="72" spans="1:18" x14ac:dyDescent="0.25">
      <c r="A72" s="8" t="s">
        <v>72</v>
      </c>
      <c r="B72" s="24">
        <f>SUM('Label Serving Size'!B72*4)</f>
        <v>336</v>
      </c>
      <c r="C72" s="25">
        <f>SUM('Label Serving Size'!C72*4)</f>
        <v>1040</v>
      </c>
      <c r="D72" s="24">
        <f>SUM('Label Serving Size'!D72*4)</f>
        <v>760</v>
      </c>
      <c r="E72" s="25">
        <f>SUM('Label Serving Size'!E72*4)</f>
        <v>84</v>
      </c>
      <c r="F72" s="24">
        <f>SUM('Label Serving Size'!F72*4)</f>
        <v>32</v>
      </c>
      <c r="G72" s="25">
        <f>SUM('Label Serving Size'!G72*4)</f>
        <v>0</v>
      </c>
      <c r="H72" s="24">
        <f>SUM('Label Serving Size'!H72*4)</f>
        <v>300</v>
      </c>
      <c r="I72" s="25">
        <f>SUM('Label Serving Size'!I72*4)</f>
        <v>1520</v>
      </c>
      <c r="J72" s="24">
        <f>SUM('Label Serving Size'!J72*4)</f>
        <v>0</v>
      </c>
      <c r="K72" s="25">
        <f>SUM('Label Serving Size'!K72*4)</f>
        <v>0</v>
      </c>
      <c r="L72" s="24">
        <f>SUM('Label Serving Size'!L72*4)</f>
        <v>0</v>
      </c>
      <c r="M72" s="25">
        <f>SUM('Label Serving Size'!M72*4)</f>
        <v>68</v>
      </c>
      <c r="N72" s="24">
        <f>SUM('Label Serving Size'!N72*4)</f>
        <v>0</v>
      </c>
      <c r="O72" s="25">
        <f>SUM('Label Serving Size'!O72*4)</f>
        <v>0</v>
      </c>
      <c r="P72" s="24">
        <f>SUM('Label Serving Size'!P72*4)</f>
        <v>0</v>
      </c>
      <c r="Q72" s="25">
        <f>SUM('Label Serving Size'!Q72*4)</f>
        <v>24</v>
      </c>
    </row>
    <row r="73" spans="1:18" x14ac:dyDescent="0.25">
      <c r="A73" s="10" t="s">
        <v>137</v>
      </c>
      <c r="B73" s="24">
        <f>SUM('Label Serving Size'!B73*2+B15+B19)</f>
        <v>495</v>
      </c>
      <c r="C73" s="25">
        <f>SUM('Label Serving Size'!C73*2+C15+C19)</f>
        <v>916</v>
      </c>
      <c r="D73" s="24">
        <f>SUM('Label Serving Size'!D73*2+D15+D19)</f>
        <v>520.5</v>
      </c>
      <c r="E73" s="25">
        <f>SUM('Label Serving Size'!E73*2+E15+E19)</f>
        <v>58.2</v>
      </c>
      <c r="F73" s="24">
        <f>SUM('Label Serving Size'!F73*2+F15+F19)</f>
        <v>19.3</v>
      </c>
      <c r="G73" s="25">
        <f>SUM('Label Serving Size'!G73*2+G15+G19)</f>
        <v>0</v>
      </c>
      <c r="H73" s="24">
        <f>SUM('Label Serving Size'!H73*2+H15+H19)</f>
        <v>155</v>
      </c>
      <c r="I73" s="25">
        <f>SUM('Label Serving Size'!I73*2+I15+I19)</f>
        <v>1048</v>
      </c>
      <c r="J73" s="24">
        <f>SUM('Label Serving Size'!J73*2+J15+J19)</f>
        <v>58.699999999999996</v>
      </c>
      <c r="K73" s="25">
        <f>SUM('Label Serving Size'!K73*2+K15+K19)</f>
        <v>4.3</v>
      </c>
      <c r="L73" s="24">
        <f>SUM('Label Serving Size'!L73*2+L15+L19)</f>
        <v>15</v>
      </c>
      <c r="M73" s="25">
        <f>SUM('Label Serving Size'!M73*2+M15+M19)</f>
        <v>39.6</v>
      </c>
      <c r="N73" s="24">
        <f>SUM('Label Serving Size'!N73*2+N15+N19)</f>
        <v>6</v>
      </c>
      <c r="O73" s="25">
        <f>SUM('Label Serving Size'!O73*2+O15+O19)</f>
        <v>22.4</v>
      </c>
      <c r="P73" s="24">
        <f>SUM('Label Serving Size'!P73*2+P15+P19)</f>
        <v>4</v>
      </c>
      <c r="Q73" s="28">
        <f>SUM('Label Serving Size'!Q73*2+Q15+Q19)</f>
        <v>23.2</v>
      </c>
    </row>
    <row r="74" spans="1:18" x14ac:dyDescent="0.25">
      <c r="A74" s="10" t="s">
        <v>136</v>
      </c>
      <c r="B74" s="24">
        <f>SUM('Label Serving Size'!B74*4+B15+B19)</f>
        <v>663</v>
      </c>
      <c r="C74" s="25">
        <f>SUM('Label Serving Size'!C74*4+C15+C19)</f>
        <v>1436</v>
      </c>
      <c r="D74" s="24">
        <f>SUM('Label Serving Size'!D74*4+D15+D19)</f>
        <v>900.5</v>
      </c>
      <c r="E74" s="25">
        <f>SUM('Label Serving Size'!E74*4+E15+E19)</f>
        <v>100.2</v>
      </c>
      <c r="F74" s="24">
        <f>SUM('Label Serving Size'!F74*4+F15+F19)</f>
        <v>35.299999999999997</v>
      </c>
      <c r="G74" s="25">
        <f>SUM('Label Serving Size'!G74*4+G15+G19)</f>
        <v>0</v>
      </c>
      <c r="H74" s="24">
        <f>SUM('Label Serving Size'!H74*4+H15+H19)</f>
        <v>305</v>
      </c>
      <c r="I74" s="25">
        <f>SUM('Label Serving Size'!I74*4+I15+I19)</f>
        <v>1808</v>
      </c>
      <c r="J74" s="24">
        <f>SUM('Label Serving Size'!J74*4+J15+J19)</f>
        <v>58.699999999999996</v>
      </c>
      <c r="K74" s="25">
        <f>SUM('Label Serving Size'!K74*4+K15+K19)</f>
        <v>4.3</v>
      </c>
      <c r="L74" s="24">
        <f>SUM('Label Serving Size'!L74*4+L15+L19)</f>
        <v>15</v>
      </c>
      <c r="M74" s="25">
        <f>SUM('Label Serving Size'!M74*4+M15+M19)</f>
        <v>73.599999999999994</v>
      </c>
      <c r="N74" s="24">
        <f>SUM('Label Serving Size'!N74*4+N15+N19)</f>
        <v>6</v>
      </c>
      <c r="O74" s="25">
        <f>SUM('Label Serving Size'!O74*4+O15+O19)</f>
        <v>22.4</v>
      </c>
      <c r="P74" s="24">
        <f>SUM('Label Serving Size'!P74*4+P15+P19)</f>
        <v>4</v>
      </c>
      <c r="Q74" s="28">
        <f>SUM('Label Serving Size'!Q74*4+Q15+Q19)</f>
        <v>35.200000000000003</v>
      </c>
    </row>
    <row r="75" spans="1:18" ht="20.399999999999999" x14ac:dyDescent="0.35">
      <c r="A75" s="36" t="s">
        <v>21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  <c r="R75" s="11"/>
    </row>
    <row r="76" spans="1:18" x14ac:dyDescent="0.25">
      <c r="A76" s="8" t="s">
        <v>141</v>
      </c>
      <c r="B76" s="24">
        <f>SUM('Label Serving Size'!B76+B39+B136*2+B140+B141) +SUM('Label Serving Size'!B151/2.8)</f>
        <v>582.04761904761904</v>
      </c>
      <c r="C76" s="25">
        <f>SUM('Label Serving Size'!C76+C39+C136*2+C140+C141) +SUM('Label Serving Size'!C151/2.8)</f>
        <v>781.19047619047615</v>
      </c>
      <c r="D76" s="24">
        <f>SUM('Label Serving Size'!D76+D39+D136*2+D140+D141) +SUM('Label Serving Size'!D151/2.8)</f>
        <v>185.25</v>
      </c>
      <c r="E76" s="25">
        <f>SUM('Label Serving Size'!E76+E39+E136*2+E140+E141) +SUM('Label Serving Size'!E151/2.8)</f>
        <v>21.69047619047619</v>
      </c>
      <c r="F76" s="24">
        <f>SUM('Label Serving Size'!F76+F39+F136*2+F140+F141) +SUM('Label Serving Size'!F151/2.8)</f>
        <v>10</v>
      </c>
      <c r="G76" s="25">
        <f>SUM('Label Serving Size'!G76+G39+G136*2+G140+G141) +SUM('Label Serving Size'!G151/2.8)</f>
        <v>0</v>
      </c>
      <c r="H76" s="24">
        <f>SUM('Label Serving Size'!H76+H39+H136*2+H140+H141) +SUM('Label Serving Size'!H151/2.8)</f>
        <v>148</v>
      </c>
      <c r="I76" s="25">
        <f>SUM('Label Serving Size'!I76+I39+I136*2+I140+I141) +SUM('Label Serving Size'!I151/2.8)</f>
        <v>3476.8809523809523</v>
      </c>
      <c r="J76" s="24">
        <f>SUM('Label Serving Size'!J76+J39+J136*2+J140+J141) +SUM('Label Serving Size'!J151/2.8)</f>
        <v>86.333333333333329</v>
      </c>
      <c r="K76" s="25">
        <f>SUM('Label Serving Size'!K76+K39+K136*2+K140+K141) +SUM('Label Serving Size'!K151/2.8)</f>
        <v>5.3809523809523805</v>
      </c>
      <c r="L76" s="24">
        <f>SUM('Label Serving Size'!L76+L39+L136*2+L140+L141) +SUM('Label Serving Size'!L151/2.8)</f>
        <v>8</v>
      </c>
      <c r="M76" s="25">
        <f>SUM('Label Serving Size'!M76+M39+M136*2+M140+M141) +SUM('Label Serving Size'!M151/2.8)</f>
        <v>63.214285714285715</v>
      </c>
      <c r="N76" s="24">
        <f>SUM('Label Serving Size'!N76+N39+N136*2+N140+N141) +SUM('Label Serving Size'!N151/2.8)</f>
        <v>48.357142857142861</v>
      </c>
      <c r="O76" s="25">
        <f>SUM('Label Serving Size'!O76+O39+O136*2+O140+O141) +SUM('Label Serving Size'!O151/2.8)</f>
        <v>50</v>
      </c>
      <c r="P76" s="24">
        <f>SUM('Label Serving Size'!P76+P39+P136*2+P140+P141) +SUM('Label Serving Size'!P151/2.8)</f>
        <v>100.26190476190476</v>
      </c>
      <c r="Q76" s="25">
        <f>SUM('Label Serving Size'!Q76+Q39+Q136*2+Q140+Q141) +SUM('Label Serving Size'!Q151/2.8)</f>
        <v>23.380952380952383</v>
      </c>
    </row>
    <row r="77" spans="1:18" x14ac:dyDescent="0.25">
      <c r="A77" s="8" t="s">
        <v>109</v>
      </c>
      <c r="B77" s="24">
        <f>SUM('Label Serving Size'!B77+B39+B48+B130*2+B136*2+B140+B141) +SUM('Label Serving Size'!B151/2.8)</f>
        <v>702.04761904761904</v>
      </c>
      <c r="C77" s="25">
        <f>SUM('Label Serving Size'!C77+C39+C48+C130*2+C136*2+C140+C141) +SUM('Label Serving Size'!C151/2.8)</f>
        <v>1221.1904761904761</v>
      </c>
      <c r="D77" s="24">
        <f>SUM('Label Serving Size'!D77+D39+D48+D130*2+D136*2+D140+D141) +SUM('Label Serving Size'!D151/2.8)</f>
        <v>585.25</v>
      </c>
      <c r="E77" s="25">
        <f>SUM('Label Serving Size'!E77+E39+E48+E130*2+E136*2+E140+E141) +SUM('Label Serving Size'!E151/2.8)</f>
        <v>67.69047619047619</v>
      </c>
      <c r="F77" s="24">
        <f>SUM('Label Serving Size'!F77+F39+F48+F130*2+F136*2+F140+F141) +SUM('Label Serving Size'!F151/2.8)</f>
        <v>16</v>
      </c>
      <c r="G77" s="25">
        <f>SUM('Label Serving Size'!G77+G39+G48+G130*2+G136*2+G140+G141) +SUM('Label Serving Size'!G151/2.8)</f>
        <v>1</v>
      </c>
      <c r="H77" s="24">
        <f>SUM('Label Serving Size'!H77+H39+H48+H130*2+H136*2+H140+H141) +SUM('Label Serving Size'!H151/2.8)</f>
        <v>168</v>
      </c>
      <c r="I77" s="25">
        <f>SUM('Label Serving Size'!I77+I39+I48+I130*2+I136*2+I140+I141) +SUM('Label Serving Size'!I151/2.8)</f>
        <v>4846.8809523809523</v>
      </c>
      <c r="J77" s="24">
        <f>SUM('Label Serving Size'!J77+J39+J48+J130*2+J136*2+J140+J141) +SUM('Label Serving Size'!J151/2.8)</f>
        <v>90.333333333333329</v>
      </c>
      <c r="K77" s="25">
        <f>SUM('Label Serving Size'!K77+K39+K48+K130*2+K136*2+K140+K141) +SUM('Label Serving Size'!K151/2.8)</f>
        <v>5.3809523809523805</v>
      </c>
      <c r="L77" s="24">
        <f>SUM('Label Serving Size'!L77+L39+L48+L130*2+L136*2+L140+L141) +SUM('Label Serving Size'!L151/2.8)</f>
        <v>10</v>
      </c>
      <c r="M77" s="25">
        <f>SUM('Label Serving Size'!M77+M39+M48+M130*2+M136*2+M140+M141) +SUM('Label Serving Size'!M151/2.8)</f>
        <v>65.214285714285708</v>
      </c>
      <c r="N77" s="24">
        <f>SUM('Label Serving Size'!N77+N39+N48+N130*2+N136*2+N140+N141) +SUM('Label Serving Size'!N151/2.8)</f>
        <v>52.657142857142858</v>
      </c>
      <c r="O77" s="25">
        <f>SUM('Label Serving Size'!O77+O39+O48+O130*2+O136*2+O140+O141) +SUM('Label Serving Size'!O151/2.8)</f>
        <v>50.04</v>
      </c>
      <c r="P77" s="24">
        <f>SUM('Label Serving Size'!P77+P39+P48+P130*2+P136*2+P140+P141) +SUM('Label Serving Size'!P151/2.8)</f>
        <v>100.26190476190476</v>
      </c>
      <c r="Q77" s="25">
        <f>SUM('Label Serving Size'!Q77+Q39+Q48+Q130*2+Q136*2+Q140+Q141) +SUM('Label Serving Size'!Q151/2.8)</f>
        <v>23.380952380952383</v>
      </c>
    </row>
    <row r="78" spans="1:18" x14ac:dyDescent="0.25">
      <c r="A78" s="8" t="s">
        <v>110</v>
      </c>
      <c r="B78" s="24">
        <f>SUM('Label Serving Size'!B78+B39+B123+B126+B136*2+B140+B141) +SUM('Label Serving Size'!B151/2.8)</f>
        <v>696.04761904761904</v>
      </c>
      <c r="C78" s="25">
        <f>SUM('Label Serving Size'!C78+C39+C123+C126+C136*2+C140+C141) +SUM('Label Serving Size'!C151/2.8)</f>
        <v>1429.1904761904761</v>
      </c>
      <c r="D78" s="24">
        <f>SUM('Label Serving Size'!D78+D39+D123+D126+D136*2+D140+D141) +SUM('Label Serving Size'!D151/2.8)</f>
        <v>674.25</v>
      </c>
      <c r="E78" s="25">
        <f>SUM('Label Serving Size'!E78+E39+E123+E126+E136*2+E140+E141) +SUM('Label Serving Size'!E151/2.8)</f>
        <v>76.9604761904762</v>
      </c>
      <c r="F78" s="24">
        <f>SUM('Label Serving Size'!F78+F39+F123+F126+F136*2+F140+F141) +SUM('Label Serving Size'!F151/2.8)</f>
        <v>26.18</v>
      </c>
      <c r="G78" s="25">
        <f>SUM('Label Serving Size'!G78+G39+G123+G126+G136*2+G140+G141) +SUM('Label Serving Size'!G151/2.8)</f>
        <v>0</v>
      </c>
      <c r="H78" s="24">
        <f>SUM('Label Serving Size'!H78+H39+H123+H126+H136*2+H140+H141) +SUM('Label Serving Size'!H151/2.8)</f>
        <v>265</v>
      </c>
      <c r="I78" s="25">
        <f>SUM('Label Serving Size'!I78+I39+I123+I126+I136*2+I140+I141) +SUM('Label Serving Size'!I151/2.8)</f>
        <v>5759.8809523809523</v>
      </c>
      <c r="J78" s="24">
        <f>SUM('Label Serving Size'!J78+J39+J123+J126+J136*2+J140+J141) +SUM('Label Serving Size'!J151/2.8)</f>
        <v>87.683333333333337</v>
      </c>
      <c r="K78" s="25">
        <f>SUM('Label Serving Size'!K78+K39+K123+K126+K136*2+K140+K141) +SUM('Label Serving Size'!K151/2.8)</f>
        <v>5.3809523809523805</v>
      </c>
      <c r="L78" s="24">
        <f>SUM('Label Serving Size'!L78+L39+L123+L126+L136*2+L140+L141) +SUM('Label Serving Size'!L151/2.8)</f>
        <v>8</v>
      </c>
      <c r="M78" s="25">
        <f>SUM('Label Serving Size'!M78+M39+M123+M126+M136*2+M140+M141) +SUM('Label Serving Size'!M151/2.8)</f>
        <v>98.914285714285711</v>
      </c>
      <c r="N78" s="24">
        <f>SUM('Label Serving Size'!N78+N39+N123+N126+N136*2+N140+N141) +SUM('Label Serving Size'!N151/2.8)</f>
        <v>49.097142857142856</v>
      </c>
      <c r="O78" s="25">
        <f>SUM('Label Serving Size'!O78+O39+O123+O126+O136*2+O140+O141) +SUM('Label Serving Size'!O151/2.8)</f>
        <v>50</v>
      </c>
      <c r="P78" s="24">
        <f>SUM('Label Serving Size'!P78+P39+P123+P126+P136*2+P140+P141) +SUM('Label Serving Size'!P151/2.8)</f>
        <v>101.26190476190476</v>
      </c>
      <c r="Q78" s="25">
        <f>SUM('Label Serving Size'!Q78+Q39+Q123+Q126+Q136*2+Q140+Q141) +SUM('Label Serving Size'!Q151/2.8)</f>
        <v>31.660952380952381</v>
      </c>
    </row>
    <row r="79" spans="1:18" x14ac:dyDescent="0.25">
      <c r="A79" s="8" t="s">
        <v>111</v>
      </c>
      <c r="B79" s="24">
        <f>SUM('Label Serving Size'!B79+B39+B129*2+B136*2) +SUM('Label Serving Size'!B151/2.8)</f>
        <v>405.04761904761909</v>
      </c>
      <c r="C79" s="25">
        <f>SUM('Label Serving Size'!C79+C39+C129*2+C136*2) +SUM('Label Serving Size'!C151/2.8)</f>
        <v>966.19047619047615</v>
      </c>
      <c r="D79" s="24">
        <f>SUM('Label Serving Size'!D79+D39+D129*2+D136*2) +SUM('Label Serving Size'!D151/2.8)</f>
        <v>265.25</v>
      </c>
      <c r="E79" s="25">
        <f>SUM('Label Serving Size'!E79+E39+E129*2+E136*2) +SUM('Label Serving Size'!E151/2.8)</f>
        <v>30.690476190476193</v>
      </c>
      <c r="F79" s="24">
        <f>SUM('Label Serving Size'!F79+F39+F129*2+F136*2) +SUM('Label Serving Size'!F151/2.8)</f>
        <v>11</v>
      </c>
      <c r="G79" s="25">
        <f>SUM('Label Serving Size'!G79+G39+G129*2+G136*2) +SUM('Label Serving Size'!G151/2.8)</f>
        <v>0</v>
      </c>
      <c r="H79" s="24">
        <f>SUM('Label Serving Size'!H79+H39+H129*2+H136*2) +SUM('Label Serving Size'!H151/2.8)</f>
        <v>148</v>
      </c>
      <c r="I79" s="25">
        <f>SUM('Label Serving Size'!I79+I39+I129*2+I136*2) +SUM('Label Serving Size'!I151/2.8)</f>
        <v>4846.8809523809523</v>
      </c>
      <c r="J79" s="24">
        <f>SUM('Label Serving Size'!J79+J39+J129*2+J136*2) +SUM('Label Serving Size'!J151/2.8)</f>
        <v>107.33333333333333</v>
      </c>
      <c r="K79" s="25">
        <f>SUM('Label Serving Size'!K79+K39+K129*2+K136*2) +SUM('Label Serving Size'!K151/2.8)</f>
        <v>5.3809523809523805</v>
      </c>
      <c r="L79" s="24">
        <f>SUM('Label Serving Size'!L79+L39+L129*2+L136*2) +SUM('Label Serving Size'!L151/2.8)</f>
        <v>25</v>
      </c>
      <c r="M79" s="25">
        <f>SUM('Label Serving Size'!M79+M39+M129*2+M136*2) +SUM('Label Serving Size'!M151/2.8)</f>
        <v>65.214285714285708</v>
      </c>
      <c r="N79" s="24">
        <f>SUM('Label Serving Size'!N79+N39+N129*2+N136*2) +SUM('Label Serving Size'!N151/2.8)</f>
        <v>52.357142857142861</v>
      </c>
      <c r="O79" s="25">
        <f>SUM('Label Serving Size'!O79+O39+O129*2+O136*2) +SUM('Label Serving Size'!O151/2.8)</f>
        <v>24</v>
      </c>
      <c r="P79" s="24">
        <f>SUM('Label Serving Size'!P79+P39+P129*2+P136*2) +SUM('Label Serving Size'!P151/2.8)</f>
        <v>105.26190476190476</v>
      </c>
      <c r="Q79" s="25">
        <f>SUM('Label Serving Size'!Q79+Q39+Q129*2+Q136*2) +SUM('Label Serving Size'!Q151/2.8)</f>
        <v>32.38095238095238</v>
      </c>
    </row>
    <row r="80" spans="1:18" x14ac:dyDescent="0.25">
      <c r="A80" s="8" t="s">
        <v>139</v>
      </c>
      <c r="B80" s="24">
        <f>SUM('Label Serving Size'!B80+B28+B48+B130+B140+B141)</f>
        <v>527</v>
      </c>
      <c r="C80" s="25">
        <f>SUM('Label Serving Size'!C80+C28+C48+C130+C140+C141)</f>
        <v>846</v>
      </c>
      <c r="D80" s="24">
        <f>SUM('Label Serving Size'!D80+D28+D48+D130+D140+D141)</f>
        <v>530</v>
      </c>
      <c r="E80" s="25">
        <f>SUM('Label Serving Size'!E80+E28+E48+E130+E140+E141)</f>
        <v>61</v>
      </c>
      <c r="F80" s="24">
        <f>SUM('Label Serving Size'!F80+F28+F48+F130+F140+F141)</f>
        <v>15.5</v>
      </c>
      <c r="G80" s="25">
        <f>SUM('Label Serving Size'!G80+G28+G48+G130+G140+G141)</f>
        <v>2.81</v>
      </c>
      <c r="H80" s="24">
        <f>SUM('Label Serving Size'!H80+H28+H48+H130+H140+H141)</f>
        <v>116</v>
      </c>
      <c r="I80" s="25">
        <f>SUM('Label Serving Size'!I80+I28+I48+I130+I140+I141)</f>
        <v>1530</v>
      </c>
      <c r="J80" s="24">
        <f>SUM('Label Serving Size'!J80+J28+J48+J130+J140+J141)</f>
        <v>39</v>
      </c>
      <c r="K80" s="25">
        <f>SUM('Label Serving Size'!K80+K28+K48+K130+K140+K141)</f>
        <v>4</v>
      </c>
      <c r="L80" s="24">
        <f>SUM('Label Serving Size'!L80+L28+L48+L130+L140+L141)</f>
        <v>9</v>
      </c>
      <c r="M80" s="25">
        <f>SUM('Label Serving Size'!M80+M28+M48+M130+M140+M141)</f>
        <v>33.799999999999997</v>
      </c>
      <c r="N80" s="24">
        <f>SUM('Label Serving Size'!N80+N28+N48+N130+N140+N141)</f>
        <v>28.3</v>
      </c>
      <c r="O80" s="25">
        <f>SUM('Label Serving Size'!O80+O28+O48+O130+O140+O141)</f>
        <v>46.04</v>
      </c>
      <c r="P80" s="24">
        <f>SUM('Label Serving Size'!P80+P28+P48+P130+P140+P141)</f>
        <v>8</v>
      </c>
      <c r="Q80" s="25">
        <f>SUM('Label Serving Size'!Q80+Q28+Q48+Q130+Q140+Q141)</f>
        <v>26</v>
      </c>
    </row>
    <row r="81" spans="1:17" x14ac:dyDescent="0.25">
      <c r="A81" s="8" t="s">
        <v>148</v>
      </c>
      <c r="B81" s="24">
        <f>SUM('Label Serving Size'!B81+B28+B123+B136+B140+B141)</f>
        <v>565</v>
      </c>
      <c r="C81" s="25">
        <f>SUM('Label Serving Size'!C81+C28+C123+C136+C140+C141)</f>
        <v>1204</v>
      </c>
      <c r="D81" s="24">
        <f>SUM('Label Serving Size'!D81+D28+D123+D136+D140+D141)</f>
        <v>739</v>
      </c>
      <c r="E81" s="25">
        <f>SUM('Label Serving Size'!E81+E28+E123+E136+E140+E141)</f>
        <v>83.27000000000001</v>
      </c>
      <c r="F81" s="24">
        <f>SUM('Label Serving Size'!F81+F28+F123+F136+F140+F141)</f>
        <v>30.68</v>
      </c>
      <c r="G81" s="25">
        <f>SUM('Label Serving Size'!G81+G28+G123+G136+G140+G141)</f>
        <v>1.81</v>
      </c>
      <c r="H81" s="24">
        <f>SUM('Label Serving Size'!H81+H28+H123+H136+H140+H141)</f>
        <v>238</v>
      </c>
      <c r="I81" s="25">
        <f>SUM('Label Serving Size'!I81+I28+I123+I136+I140+I141)</f>
        <v>3133</v>
      </c>
      <c r="J81" s="24">
        <f>SUM('Label Serving Size'!J81+J28+J123+J136+J140+J141)</f>
        <v>38.35</v>
      </c>
      <c r="K81" s="25">
        <f>SUM('Label Serving Size'!K81+K28+K123+K136+K140+K141)</f>
        <v>4</v>
      </c>
      <c r="L81" s="24">
        <f>SUM('Label Serving Size'!L81+L28+L123+L136+L140+L141)</f>
        <v>8</v>
      </c>
      <c r="M81" s="25">
        <f>SUM('Label Serving Size'!M81+M28+M123+M136+M140+M141)</f>
        <v>73.5</v>
      </c>
      <c r="N81" s="24">
        <f>SUM('Label Serving Size'!N81+N28+N123+N136+N140+N141)</f>
        <v>32.74</v>
      </c>
      <c r="O81" s="25">
        <f>SUM('Label Serving Size'!O81+O28+O123+O136+O140+O141)</f>
        <v>46</v>
      </c>
      <c r="P81" s="24">
        <f>SUM('Label Serving Size'!P81+P28+P123+P136+P140+P141)</f>
        <v>24</v>
      </c>
      <c r="Q81" s="25">
        <f>SUM('Label Serving Size'!Q81+Q28+Q123+Q136+Q140+Q141)</f>
        <v>34.28</v>
      </c>
    </row>
    <row r="82" spans="1:17" x14ac:dyDescent="0.25">
      <c r="A82" s="8" t="s">
        <v>112</v>
      </c>
      <c r="B82" s="24">
        <f>SUM('Label Serving Size'!B82+B29+B140+B141) +SUM('Label Serving Size'!B151/2.8)</f>
        <v>451.71428571428572</v>
      </c>
      <c r="C82" s="25">
        <f>SUM('Label Serving Size'!C82+C29+C140+C141) +SUM('Label Serving Size'!C151/2.8)</f>
        <v>482.85714285714289</v>
      </c>
      <c r="D82" s="24">
        <f>SUM('Label Serving Size'!D82+D29+D140+D141) +SUM('Label Serving Size'!D151/2.8)</f>
        <v>71.75</v>
      </c>
      <c r="E82" s="25">
        <f>SUM('Label Serving Size'!E82+E29+E140+E141) +SUM('Label Serving Size'!E151/2.8)</f>
        <v>9.9471428571428575</v>
      </c>
      <c r="F82" s="24">
        <f>SUM('Label Serving Size'!F82+F29+F140+F141) +SUM('Label Serving Size'!F151/2.8)</f>
        <v>2.76</v>
      </c>
      <c r="G82" s="25">
        <f>SUM('Label Serving Size'!G82+G29+G140+G141) +SUM('Label Serving Size'!G151/2.8)</f>
        <v>0</v>
      </c>
      <c r="H82" s="24">
        <f>SUM('Label Serving Size'!H82+H29+H140+H141) +SUM('Label Serving Size'!H151/2.8)</f>
        <v>47</v>
      </c>
      <c r="I82" s="25">
        <f>SUM('Label Serving Size'!I82+I29+I140+I141) +SUM('Label Serving Size'!I151/2.8)</f>
        <v>1656.2142857142858</v>
      </c>
      <c r="J82" s="24">
        <f>SUM('Label Serving Size'!J82+J29+J140+J141) +SUM('Label Serving Size'!J151/2.8)</f>
        <v>73</v>
      </c>
      <c r="K82" s="25">
        <f>SUM('Label Serving Size'!K82+K29+K140+K141) +SUM('Label Serving Size'!K151/2.8)</f>
        <v>4.7142857142857144</v>
      </c>
      <c r="L82" s="24">
        <f>SUM('Label Serving Size'!L82+L29+L140+L141) +SUM('Label Serving Size'!L151/2.8)</f>
        <v>7</v>
      </c>
      <c r="M82" s="25">
        <f>SUM('Label Serving Size'!M82+M29+M140+M141) +SUM('Label Serving Size'!M151/2.8)</f>
        <v>27.814285714285717</v>
      </c>
      <c r="N82" s="24">
        <f>SUM('Label Serving Size'!N82+N29+N140+N141) +SUM('Label Serving Size'!N151/2.8)</f>
        <v>32.357142857142861</v>
      </c>
      <c r="O82" s="25">
        <f>SUM('Label Serving Size'!O82+O29+O140+O141) +SUM('Label Serving Size'!O151/2.8)</f>
        <v>47</v>
      </c>
      <c r="P82" s="24">
        <f>SUM('Label Serving Size'!P82+P29+P140+P141) +SUM('Label Serving Size'!P151/2.8)</f>
        <v>31.828571428571429</v>
      </c>
      <c r="Q82" s="25">
        <f>SUM('Label Serving Size'!Q82+Q29+Q140+Q141) +SUM('Label Serving Size'!Q151/2.8)</f>
        <v>27.494285714285716</v>
      </c>
    </row>
    <row r="83" spans="1:17" x14ac:dyDescent="0.25">
      <c r="A83" s="10" t="s">
        <v>113</v>
      </c>
      <c r="B83" s="24">
        <f>SUM('Label Serving Size'!B83+B39*2+B136*2)</f>
        <v>541.66666666666674</v>
      </c>
      <c r="C83" s="25">
        <f>SUM('Label Serving Size'!C83+C39*2+C136*2)</f>
        <v>986.66666666666663</v>
      </c>
      <c r="D83" s="24">
        <f>SUM('Label Serving Size'!D83+D39*2+D136*2)</f>
        <v>203</v>
      </c>
      <c r="E83" s="25">
        <f>SUM('Label Serving Size'!E83+E39*2+E136*2)</f>
        <v>24.666666666666668</v>
      </c>
      <c r="F83" s="24">
        <f>SUM('Label Serving Size'!F83+F39*2+F136*2)</f>
        <v>11</v>
      </c>
      <c r="G83" s="25">
        <f>SUM('Label Serving Size'!G83+G39*2+G136*2)</f>
        <v>0</v>
      </c>
      <c r="H83" s="24">
        <f>SUM('Label Serving Size'!H83+H39*2+H136*2)</f>
        <v>246</v>
      </c>
      <c r="I83" s="25">
        <f>SUM('Label Serving Size'!I83+I39*2+I136*2)</f>
        <v>3717.333333333333</v>
      </c>
      <c r="J83" s="24">
        <f>SUM('Label Serving Size'!J83+J39*2+J136*2)</f>
        <v>89.666666666666657</v>
      </c>
      <c r="K83" s="25">
        <f>SUM('Label Serving Size'!K83+K39*2+K136*2)</f>
        <v>3.333333333333333</v>
      </c>
      <c r="L83" s="24">
        <f>SUM('Label Serving Size'!L83+L39*2+L136*2)</f>
        <v>2</v>
      </c>
      <c r="M83" s="25">
        <f>SUM('Label Serving Size'!M83+M39*2+M136*2)</f>
        <v>103</v>
      </c>
      <c r="N83" s="24">
        <f>SUM('Label Serving Size'!N83+N39*2+N136*2)</f>
        <v>22</v>
      </c>
      <c r="O83" s="25">
        <f>SUM('Label Serving Size'!O83+O39*2+O136*2)</f>
        <v>8</v>
      </c>
      <c r="P83" s="24">
        <f>SUM('Label Serving Size'!P83+P39*2+P136*2)</f>
        <v>113.66666666666666</v>
      </c>
      <c r="Q83" s="25">
        <f>SUM('Label Serving Size'!Q83+Q39*2+Q136*2)</f>
        <v>31.333333333333336</v>
      </c>
    </row>
    <row r="84" spans="1:17" x14ac:dyDescent="0.25">
      <c r="A84" s="10" t="s">
        <v>114</v>
      </c>
      <c r="B84" s="24">
        <f>SUM('Label Serving Size'!B84*2+B29+B136*2)</f>
        <v>375</v>
      </c>
      <c r="C84" s="25">
        <f>SUM('Label Serving Size'!C84*2+C29+C136*2)</f>
        <v>960</v>
      </c>
      <c r="D84" s="24">
        <f>SUM('Label Serving Size'!D84*2+D29+D136*2)</f>
        <v>520</v>
      </c>
      <c r="E84" s="25">
        <f>SUM('Label Serving Size'!E84*2+E29+E136*2)</f>
        <v>60</v>
      </c>
      <c r="F84" s="24">
        <f>SUM('Label Serving Size'!F84*2+F29+F136*2)</f>
        <v>27</v>
      </c>
      <c r="G84" s="25">
        <f>SUM('Label Serving Size'!G84*2+G29+G136*2)</f>
        <v>0</v>
      </c>
      <c r="H84" s="24">
        <f>SUM('Label Serving Size'!H84*2+H29+H136*2)</f>
        <v>200</v>
      </c>
      <c r="I84" s="25">
        <f>SUM('Label Serving Size'!I84*2+I29+I136*2)</f>
        <v>1690</v>
      </c>
      <c r="J84" s="24">
        <f>SUM('Label Serving Size'!J84*2+J29+J136*2)</f>
        <v>43</v>
      </c>
      <c r="K84" s="25">
        <f>SUM('Label Serving Size'!K84*2+K29+K136*2)</f>
        <v>2</v>
      </c>
      <c r="L84" s="24">
        <f>SUM('Label Serving Size'!L84*2+L29+L136*2)</f>
        <v>2</v>
      </c>
      <c r="M84" s="25">
        <f>SUM('Label Serving Size'!M84*2+M29+M136*2)</f>
        <v>61</v>
      </c>
      <c r="N84" s="24">
        <f>SUM('Label Serving Size'!N84*2+N29+N136*2)</f>
        <v>12</v>
      </c>
      <c r="O84" s="25">
        <f>SUM('Label Serving Size'!O84*2+O29+O136*2)</f>
        <v>0</v>
      </c>
      <c r="P84" s="24">
        <f>SUM('Label Serving Size'!P84*2+P29+P136*2)</f>
        <v>34.26</v>
      </c>
      <c r="Q84" s="25">
        <f>SUM('Label Serving Size'!Q84*2+Q29+Q136*2)</f>
        <v>38</v>
      </c>
    </row>
    <row r="85" spans="1:17" ht="20.399999999999999" x14ac:dyDescent="0.35">
      <c r="A85" s="36" t="s">
        <v>22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3"/>
    </row>
    <row r="86" spans="1:17" x14ac:dyDescent="0.25">
      <c r="A86" s="8" t="s">
        <v>115</v>
      </c>
      <c r="B86" s="24">
        <f>SUM('Label Serving Size'!B86+B39+B137*2+B140+B141)</f>
        <v>600.33333333333337</v>
      </c>
      <c r="C86" s="25">
        <f>SUM('Label Serving Size'!C86+C39+C137*2+C140+C141)</f>
        <v>858.33333333333326</v>
      </c>
      <c r="D86" s="24">
        <f>SUM('Label Serving Size'!D86+D39+D137*2+D140+D141)</f>
        <v>251.5</v>
      </c>
      <c r="E86" s="25">
        <f>SUM('Label Serving Size'!E86+E39+E137*2+E140+E141)</f>
        <v>28.333333333333336</v>
      </c>
      <c r="F86" s="24">
        <f>SUM('Label Serving Size'!F86+F39+F137*2+F140+F141)</f>
        <v>12.5</v>
      </c>
      <c r="G86" s="25">
        <f>SUM('Label Serving Size'!G86+G39+G137*2+G140+G141)</f>
        <v>0</v>
      </c>
      <c r="H86" s="24">
        <f>SUM('Label Serving Size'!H86+H39+H137*2+H140+H141)</f>
        <v>158</v>
      </c>
      <c r="I86" s="25">
        <f>SUM('Label Serving Size'!I86+I39+I137*2+I140+I141)</f>
        <v>2123.6666666666665</v>
      </c>
      <c r="J86" s="24">
        <f>SUM('Label Serving Size'!J86+J39+J137*2+J140+J141)</f>
        <v>84.333333333333329</v>
      </c>
      <c r="K86" s="25">
        <f>SUM('Label Serving Size'!K86+K39+K137*2+K140+K141)</f>
        <v>7.666666666666667</v>
      </c>
      <c r="L86" s="24">
        <f>SUM('Label Serving Size'!L86+L39+L137*2+L140+L141)</f>
        <v>6</v>
      </c>
      <c r="M86" s="25">
        <f>SUM('Label Serving Size'!M86+M39+M137*2+M140+M141)</f>
        <v>68</v>
      </c>
      <c r="N86" s="24">
        <f>SUM('Label Serving Size'!N86+N39+N137*2+N140+N141)</f>
        <v>43</v>
      </c>
      <c r="O86" s="25">
        <f>SUM('Label Serving Size'!O86+O39+O137*2+O140+O141)</f>
        <v>50</v>
      </c>
      <c r="P86" s="24">
        <f>SUM('Label Serving Size'!P86+P39+P137*2+P140+P141)</f>
        <v>104.33333333333333</v>
      </c>
      <c r="Q86" s="25">
        <f>SUM('Label Serving Size'!Q86+Q39+Q137*2+Q140+Q141)</f>
        <v>12.866666666666667</v>
      </c>
    </row>
    <row r="87" spans="1:17" x14ac:dyDescent="0.25">
      <c r="A87" s="8" t="s">
        <v>116</v>
      </c>
      <c r="B87" s="24">
        <f>SUM('Label Serving Size'!B87+B39+B48+B130*2+B137*2+B140+B141)</f>
        <v>720.33333333333337</v>
      </c>
      <c r="C87" s="25">
        <f>SUM('Label Serving Size'!C87+C39+C48+C130*2+C137*2+C140+C141)</f>
        <v>1298.3333333333333</v>
      </c>
      <c r="D87" s="24">
        <f>SUM('Label Serving Size'!D87+D39+D48+D130*2+D137*2+D140+D141)</f>
        <v>651.5</v>
      </c>
      <c r="E87" s="25">
        <f>SUM('Label Serving Size'!E87+E39+E48+E130*2+E137*2+E140+E141)</f>
        <v>74.333333333333343</v>
      </c>
      <c r="F87" s="24">
        <f>SUM('Label Serving Size'!F87+F39+F48+F130*2+F137*2+F140+F141)</f>
        <v>18.5</v>
      </c>
      <c r="G87" s="25">
        <f>SUM('Label Serving Size'!G87+G39+G48+G130*2+G137*2+G140+G141)</f>
        <v>1</v>
      </c>
      <c r="H87" s="24">
        <f>SUM('Label Serving Size'!H87+H39+H48+H130*2+H137*2+H140+H141)</f>
        <v>178</v>
      </c>
      <c r="I87" s="25">
        <f>SUM('Label Serving Size'!I87+I39+I48+I130*2+I137*2+I140+I141)</f>
        <v>3493.6666666666665</v>
      </c>
      <c r="J87" s="24">
        <f>SUM('Label Serving Size'!J87+J39+J48+J130*2+J137*2+J140+J141)</f>
        <v>88.333333333333329</v>
      </c>
      <c r="K87" s="25">
        <f>SUM('Label Serving Size'!K87+K39+K48+K130*2+K137*2+K140+K141)</f>
        <v>7.666666666666667</v>
      </c>
      <c r="L87" s="24">
        <f>SUM('Label Serving Size'!L87+L39+L48+L130*2+L137*2+L140+L141)</f>
        <v>8</v>
      </c>
      <c r="M87" s="25">
        <f>SUM('Label Serving Size'!M87+M39+M48+M130*2+M137*2+M140+M141)</f>
        <v>70</v>
      </c>
      <c r="N87" s="24">
        <f>SUM('Label Serving Size'!N87+N39+N48+N130*2+N137*2+N140+N141)</f>
        <v>47.3</v>
      </c>
      <c r="O87" s="25">
        <f>SUM('Label Serving Size'!O87+O39+O48+O130*2+O137*2+O140+O141)</f>
        <v>50.04</v>
      </c>
      <c r="P87" s="24">
        <f>SUM('Label Serving Size'!P87+P39+P48+P130*2+P137*2+P140+P141)</f>
        <v>104.33333333333333</v>
      </c>
      <c r="Q87" s="25">
        <f>SUM('Label Serving Size'!Q87+Q39+Q48+Q130*2+Q137*2+Q140+Q141)</f>
        <v>12.866666666666667</v>
      </c>
    </row>
    <row r="88" spans="1:17" x14ac:dyDescent="0.25">
      <c r="A88" s="8" t="s">
        <v>117</v>
      </c>
      <c r="B88" s="24">
        <f>SUM('Label Serving Size'!B88+B39+B123+B126+B137*2+B140+B141)</f>
        <v>714.33333333333337</v>
      </c>
      <c r="C88" s="25">
        <f>SUM('Label Serving Size'!C88+C39+C123+C126+C137*2+C140+C141)</f>
        <v>1506.3333333333333</v>
      </c>
      <c r="D88" s="24">
        <f>SUM('Label Serving Size'!D88+D39+D123+D126+D137*2+D140+D141)</f>
        <v>740.5</v>
      </c>
      <c r="E88" s="25">
        <f>SUM('Label Serving Size'!E88+E39+E123+E126+E137*2+E140+E141)</f>
        <v>83.603333333333339</v>
      </c>
      <c r="F88" s="24">
        <f>SUM('Label Serving Size'!F88+F39+F123+F126+F137*2+F140+F141)</f>
        <v>28.68</v>
      </c>
      <c r="G88" s="25">
        <f>SUM('Label Serving Size'!G88+G39+G123+G126+G137*2+G140+G141)</f>
        <v>0</v>
      </c>
      <c r="H88" s="24">
        <f>SUM('Label Serving Size'!H88+H39+H123+H126+H137*2+H140+H141)</f>
        <v>275</v>
      </c>
      <c r="I88" s="25">
        <f>SUM('Label Serving Size'!I88+I39+I123+I126+I137*2+I140+I141)</f>
        <v>4406.6666666666661</v>
      </c>
      <c r="J88" s="24">
        <f>SUM('Label Serving Size'!J88+J39+J123+J126+J137*2+J140+J141)</f>
        <v>85.683333333333323</v>
      </c>
      <c r="K88" s="25">
        <f>SUM('Label Serving Size'!K88+K39+K123+K126+K137*2+K140+K141)</f>
        <v>7.666666666666667</v>
      </c>
      <c r="L88" s="24">
        <f>SUM('Label Serving Size'!L88+L39+L123+L126+L137*2+L140+L141)</f>
        <v>6</v>
      </c>
      <c r="M88" s="25">
        <f>SUM('Label Serving Size'!M88+M39+M123+M126+M137*2+M140+M141)</f>
        <v>103.7</v>
      </c>
      <c r="N88" s="24">
        <f>SUM('Label Serving Size'!N88+N39+N123+N126+N137*2+N140+N141)</f>
        <v>43.74</v>
      </c>
      <c r="O88" s="25">
        <f>SUM('Label Serving Size'!O88+O39+O123+O126+O137*2+O140+O141)</f>
        <v>50</v>
      </c>
      <c r="P88" s="24">
        <f>SUM('Label Serving Size'!P88+P39+P123+P126+P137*2+P140+P141)</f>
        <v>105.33333333333333</v>
      </c>
      <c r="Q88" s="25">
        <f>SUM('Label Serving Size'!Q88+Q39+Q123+Q126+Q137*2+Q140+Q141)</f>
        <v>21.146666666666668</v>
      </c>
    </row>
    <row r="89" spans="1:17" x14ac:dyDescent="0.25">
      <c r="A89" s="8" t="s">
        <v>118</v>
      </c>
      <c r="B89" s="24">
        <f>SUM('Label Serving Size'!B89+B39+B133+B137*2+B140+B141)</f>
        <v>643.33333333333337</v>
      </c>
      <c r="C89" s="25">
        <f>SUM('Label Serving Size'!C89+C39+C133+C137*2+C140+C141)</f>
        <v>1068.3333333333333</v>
      </c>
      <c r="D89" s="24">
        <f>SUM('Label Serving Size'!D89+D39+D133+D137*2+D140+D141)</f>
        <v>451.5</v>
      </c>
      <c r="E89" s="25">
        <f>SUM('Label Serving Size'!E89+E39+E133+E137*2+E140+E141)</f>
        <v>51.333333333333336</v>
      </c>
      <c r="F89" s="24">
        <f>SUM('Label Serving Size'!F89+F39+F133+F137*2+F140+F141)</f>
        <v>16</v>
      </c>
      <c r="G89" s="25">
        <f>SUM('Label Serving Size'!G89+G39+G133+G137*2+G140+G141)</f>
        <v>0</v>
      </c>
      <c r="H89" s="24">
        <f>SUM('Label Serving Size'!H89+H39+H133+H137*2+H140+H141)</f>
        <v>158</v>
      </c>
      <c r="I89" s="25">
        <f>SUM('Label Serving Size'!I89+I39+I133+I137*2+I140+I141)</f>
        <v>2543.6666666666665</v>
      </c>
      <c r="J89" s="24">
        <f>SUM('Label Serving Size'!J89+J39+J133+J137*2+J140+J141)</f>
        <v>86.333333333333329</v>
      </c>
      <c r="K89" s="25">
        <f>SUM('Label Serving Size'!K89+K39+K133+K137*2+K140+K141)</f>
        <v>7.666666666666667</v>
      </c>
      <c r="L89" s="24">
        <f>SUM('Label Serving Size'!L89+L39+L133+L137*2+L140+L141)</f>
        <v>8</v>
      </c>
      <c r="M89" s="25">
        <f>SUM('Label Serving Size'!M89+M39+M133+M137*2+M140+M141)</f>
        <v>69</v>
      </c>
      <c r="N89" s="24">
        <f>SUM('Label Serving Size'!N89+N39+N133+N137*2+N140+N141)</f>
        <v>45</v>
      </c>
      <c r="O89" s="25">
        <f>SUM('Label Serving Size'!O89+O39+O133+O137*2+O140+O141)</f>
        <v>50</v>
      </c>
      <c r="P89" s="24">
        <f>SUM('Label Serving Size'!P89+P39+P133+P137*2+P140+P141)</f>
        <v>106.33333333333333</v>
      </c>
      <c r="Q89" s="25">
        <f>SUM('Label Serving Size'!Q89+Q39+Q133+Q137*2+Q140+Q141)</f>
        <v>12.866666666666667</v>
      </c>
    </row>
    <row r="90" spans="1:17" x14ac:dyDescent="0.25">
      <c r="A90" s="8" t="s">
        <v>119</v>
      </c>
      <c r="B90" s="24">
        <f>SUM('Label Serving Size'!B90+B105+B137*2+B140+B141)</f>
        <v>517</v>
      </c>
      <c r="C90" s="25">
        <f>SUM('Label Serving Size'!C90+C105+C137*2+C140+C141)</f>
        <v>705</v>
      </c>
      <c r="D90" s="24">
        <f>SUM('Label Serving Size'!D90+D105+D137*2+D140+D141)</f>
        <v>240</v>
      </c>
      <c r="E90" s="25">
        <f>SUM('Label Serving Size'!E90+E105+E137*2+E140+E141)</f>
        <v>27</v>
      </c>
      <c r="F90" s="24">
        <f>SUM('Label Serving Size'!F90+F105+F137*2+F140+F141)</f>
        <v>12.5</v>
      </c>
      <c r="G90" s="25">
        <f>SUM('Label Serving Size'!G90+G105+G137*2+G140+G141)</f>
        <v>0</v>
      </c>
      <c r="H90" s="24">
        <f>SUM('Label Serving Size'!H90+H105+H137*2+H140+H141)</f>
        <v>95</v>
      </c>
      <c r="I90" s="25">
        <f>SUM('Label Serving Size'!I90+I105+I137*2+I140+I141)</f>
        <v>1570</v>
      </c>
      <c r="J90" s="24">
        <f>SUM('Label Serving Size'!J90+J105+J137*2+J140+J141)</f>
        <v>79</v>
      </c>
      <c r="K90" s="25">
        <f>SUM('Label Serving Size'!K90+K105+K137*2+K140+K141)</f>
        <v>9</v>
      </c>
      <c r="L90" s="24">
        <f>SUM('Label Serving Size'!L90+L105+L137*2+L140+L141)</f>
        <v>6</v>
      </c>
      <c r="M90" s="25">
        <f>SUM('Label Serving Size'!M90+M105+M137*2+M140+M141)</f>
        <v>41</v>
      </c>
      <c r="N90" s="24">
        <f>SUM('Label Serving Size'!N90+N105+N137*2+N140+N141)</f>
        <v>40</v>
      </c>
      <c r="O90" s="25">
        <f>SUM('Label Serving Size'!O90+O105+O137*2+O140+O141)</f>
        <v>46</v>
      </c>
      <c r="P90" s="24">
        <f>SUM('Label Serving Size'!P90+P105+P137*2+P140+P141)</f>
        <v>68</v>
      </c>
      <c r="Q90" s="25">
        <f>SUM('Label Serving Size'!Q90+Q105+Q137*2+Q140+Q141)</f>
        <v>10.199999999999999</v>
      </c>
    </row>
    <row r="91" spans="1:17" x14ac:dyDescent="0.25">
      <c r="A91" s="10" t="s">
        <v>120</v>
      </c>
      <c r="B91" s="24">
        <f>SUM('Label Serving Size'!B91+B137*2+B140+B141+B144+B145)</f>
        <v>524.88888888888891</v>
      </c>
      <c r="C91" s="25">
        <f>SUM('Label Serving Size'!C91+C137*2+C140+C141+C144+C145)</f>
        <v>601.66666666666663</v>
      </c>
      <c r="D91" s="24">
        <f>SUM('Label Serving Size'!D91+D137*2+D140+D141+D144+D145)</f>
        <v>230</v>
      </c>
      <c r="E91" s="25">
        <f>SUM('Label Serving Size'!E91+E137*2+E140+E141+E144+E145)</f>
        <v>26</v>
      </c>
      <c r="F91" s="24">
        <f>SUM('Label Serving Size'!F91+F137*2+F140+F141+F144+F145)</f>
        <v>12.5</v>
      </c>
      <c r="G91" s="25">
        <f>SUM('Label Serving Size'!G91+G137*2+G140+G141+G144+G145)</f>
        <v>0</v>
      </c>
      <c r="H91" s="24">
        <f>SUM('Label Serving Size'!H91+H137*2+H140+H141+H144+H145)</f>
        <v>60</v>
      </c>
      <c r="I91" s="25">
        <f>SUM('Label Serving Size'!I91+I137*2+I140+I141+I144+I145)</f>
        <v>1135.5555555555557</v>
      </c>
      <c r="J91" s="24">
        <f>SUM('Label Serving Size'!J91+J137*2+J140+J141+J144+J145)</f>
        <v>67.666666666666671</v>
      </c>
      <c r="K91" s="25">
        <f>SUM('Label Serving Size'!K91+K137*2+K140+K141+K144+K145)</f>
        <v>9.3333333333333339</v>
      </c>
      <c r="L91" s="24">
        <f>SUM('Label Serving Size'!L91+L137*2+L140+L141+L144+L145)</f>
        <v>7</v>
      </c>
      <c r="M91" s="25">
        <f>SUM('Label Serving Size'!M91+M137*2+M140+M141+M144+M145)</f>
        <v>27.777777777777779</v>
      </c>
      <c r="N91" s="24">
        <f>SUM('Label Serving Size'!N91+N137*2+N140+N141+N144+N145)</f>
        <v>42</v>
      </c>
      <c r="O91" s="25">
        <f>SUM('Label Serving Size'!O91+O137*2+O140+O141+O144+O145)</f>
        <v>56</v>
      </c>
      <c r="P91" s="24">
        <f>SUM('Label Serving Size'!P91+P137*2+P140+P141+P144+P145)</f>
        <v>66.888888888888886</v>
      </c>
      <c r="Q91" s="25">
        <f>SUM('Label Serving Size'!Q91+Q137*2+Q140+Q141+Q144+Q145)</f>
        <v>14.866666666666667</v>
      </c>
    </row>
    <row r="92" spans="1:17" x14ac:dyDescent="0.25">
      <c r="A92" s="10" t="s">
        <v>170</v>
      </c>
      <c r="B92" s="24">
        <f>SUM('Label Serving Size'!B92+B39+B125*2+B137*2+B142+B147*2)</f>
        <v>583.33333333333337</v>
      </c>
      <c r="C92" s="25">
        <f>SUM('Label Serving Size'!C92+C39+C125*2+C137*2+C142+C147*2)</f>
        <v>993.33333333333326</v>
      </c>
      <c r="D92" s="24">
        <f>SUM('Label Serving Size'!D92+D39+D125*2+D137*2+D142+D147*2)</f>
        <v>352.5</v>
      </c>
      <c r="E92" s="25">
        <f>SUM('Label Serving Size'!E92+E39+E125*2+E137*2+E142+E147*2)</f>
        <v>38.433333333333337</v>
      </c>
      <c r="F92" s="24">
        <f>SUM('Label Serving Size'!F92+F39+F125*2+F137*2+F142+F147*2)</f>
        <v>19.54</v>
      </c>
      <c r="G92" s="25">
        <f>SUM('Label Serving Size'!G92+G39+G125*2+G137*2+G142+G147*2)</f>
        <v>0</v>
      </c>
      <c r="H92" s="24">
        <f>SUM('Label Serving Size'!H92+H39+H125*2+H137*2+H142+H147*2)</f>
        <v>188</v>
      </c>
      <c r="I92" s="25">
        <f>SUM('Label Serving Size'!I92+I39+I125*2+I137*2+I142+I147*2)</f>
        <v>3207.6666666666665</v>
      </c>
      <c r="J92" s="24">
        <f>SUM('Label Serving Size'!J92+J39+J125*2+J137*2+J142+J147*2)</f>
        <v>92.673333333333332</v>
      </c>
      <c r="K92" s="25">
        <f>SUM('Label Serving Size'!K92+K39+K125*2+K137*2+K142+K147*2)</f>
        <v>9.3666666666666671</v>
      </c>
      <c r="L92" s="24">
        <f>SUM('Label Serving Size'!L92+L39+L125*2+L137*2+L142+L147*2)</f>
        <v>7.24</v>
      </c>
      <c r="M92" s="25">
        <f>SUM('Label Serving Size'!M92+M39+M125*2+M137*2+M142+M147*2)</f>
        <v>69.099999999999994</v>
      </c>
      <c r="N92" s="24">
        <f>SUM('Label Serving Size'!N92+N39+N125*2+N137*2+N142+N147*2)</f>
        <v>37.04</v>
      </c>
      <c r="O92" s="25">
        <f>SUM('Label Serving Size'!O92+O39+O125*2+O137*2+O142+O147*2)</f>
        <v>24.33</v>
      </c>
      <c r="P92" s="24">
        <f>SUM('Label Serving Size'!P92+P39+P125*2+P137*2+P142+P147*2)</f>
        <v>122.63333333333333</v>
      </c>
      <c r="Q92" s="25">
        <f>SUM('Label Serving Size'!Q92+Q39+Q125*2+Q137*2+Q142+Q147*2)</f>
        <v>16.036666666666669</v>
      </c>
    </row>
    <row r="93" spans="1:17" x14ac:dyDescent="0.25">
      <c r="A93" s="10" t="s">
        <v>169</v>
      </c>
      <c r="B93" s="24">
        <f>SUM('Label Serving Size'!B93+B39+B124+B125*2+B137*2+B140+B141+B143+B144+B147)</f>
        <v>778.25448028673839</v>
      </c>
      <c r="C93" s="25">
        <f>SUM('Label Serving Size'!C93+C39+C124+C125*2+C137*2+C140+C141+C143+C144+C147)</f>
        <v>1050.8064516129032</v>
      </c>
      <c r="D93" s="24">
        <f>SUM('Label Serving Size'!D93+D39+D124+D125*2+D137*2+D140+D141+D143+D144+D147)</f>
        <v>354.72580645161293</v>
      </c>
      <c r="E93" s="25">
        <f>SUM('Label Serving Size'!E93+E39+E124+E125*2+E137*2+E140+E141+E143+E144+E147)</f>
        <v>38.655913978494624</v>
      </c>
      <c r="F93" s="24">
        <f>SUM('Label Serving Size'!F93+F39+F124+F125*2+F137*2+F140+F141+F143+F144+F147)</f>
        <v>19.5</v>
      </c>
      <c r="G93" s="25">
        <f>SUM('Label Serving Size'!G93+G39+G124+G125*2+G137*2+G140+G141+G143+G144+G147)</f>
        <v>0</v>
      </c>
      <c r="H93" s="24">
        <f>SUM('Label Serving Size'!H93+H39+H124+H125*2+H137*2+H140+H141+H143+H144+H147)</f>
        <v>188</v>
      </c>
      <c r="I93" s="25">
        <f>SUM('Label Serving Size'!I93+I39+I124+I125*2+I137*2+I140+I141+I143+I144+I147)</f>
        <v>3037.4480286738349</v>
      </c>
      <c r="J93" s="24">
        <f>SUM('Label Serving Size'!J93+J39+J124+J125*2+J137*2+J140+J141+J143+J144+J147)</f>
        <v>102.12903225806451</v>
      </c>
      <c r="K93" s="25">
        <f>SUM('Label Serving Size'!K93+K39+K124+K125*2+K137*2+K140+K141+K143+K144+K147)</f>
        <v>11.322580645161292</v>
      </c>
      <c r="L93" s="24">
        <f>SUM('Label Serving Size'!L93+L39+L124+L125*2+L137*2+L140+L141+L143+L144+L147)</f>
        <v>10.612903225806452</v>
      </c>
      <c r="M93" s="25">
        <f>SUM('Label Serving Size'!M93+M39+M124+M125*2+M137*2+M140+M141+M143+M144+M147)</f>
        <v>72.745519713261643</v>
      </c>
      <c r="N93" s="24">
        <f>SUM('Label Serving Size'!N93+N39+N124+N125*2+N137*2+N140+N141+N143+N144+N147)</f>
        <v>59</v>
      </c>
      <c r="O93" s="25">
        <f>SUM('Label Serving Size'!O93+O39+O124+O125*2+O137*2+O140+O141+O143+O144+O147)</f>
        <v>61.29032258064516</v>
      </c>
      <c r="P93" s="24">
        <f>SUM('Label Serving Size'!P93+P39+P124+P125*2+P137*2+P140+P141+P143+P144+P147)</f>
        <v>119.22222222222221</v>
      </c>
      <c r="Q93" s="25">
        <f>SUM('Label Serving Size'!Q93+Q39+Q124+Q125*2+Q137*2+Q140+Q141+Q143+Q144+Q147)</f>
        <v>23.533333333333335</v>
      </c>
    </row>
    <row r="94" spans="1:17" x14ac:dyDescent="0.25">
      <c r="A94" s="10" t="s">
        <v>140</v>
      </c>
      <c r="B94" s="24">
        <f>SUM('Label Serving Size'!B66+B48+B137+B140)</f>
        <v>262</v>
      </c>
      <c r="C94" s="25">
        <f>SUM('Label Serving Size'!C66+C48+C137+C140)</f>
        <v>354</v>
      </c>
      <c r="D94" s="24">
        <f>SUM('Label Serving Size'!D66+D48+D137+D140)</f>
        <v>209</v>
      </c>
      <c r="E94" s="25">
        <f>SUM('Label Serving Size'!E66+E48+E137+E140)</f>
        <v>24</v>
      </c>
      <c r="F94" s="24">
        <f>SUM('Label Serving Size'!F66+F48+F137+F140)</f>
        <v>7</v>
      </c>
      <c r="G94" s="25">
        <f>SUM('Label Serving Size'!G66+G48+G137+G140)</f>
        <v>1</v>
      </c>
      <c r="H94" s="24">
        <f>SUM('Label Serving Size'!H66+H48+H137+H140)</f>
        <v>79</v>
      </c>
      <c r="I94" s="25">
        <f>SUM('Label Serving Size'!I66+I48+I137+I140)</f>
        <v>1065</v>
      </c>
      <c r="J94" s="24">
        <f>SUM('Label Serving Size'!J66+J48+J137+J140)</f>
        <v>5</v>
      </c>
      <c r="K94" s="25">
        <f>SUM('Label Serving Size'!K66+K48+K137+K140)</f>
        <v>1</v>
      </c>
      <c r="L94" s="24">
        <f>SUM('Label Serving Size'!L66+L48+L137+L140)</f>
        <v>2</v>
      </c>
      <c r="M94" s="25">
        <f>SUM('Label Serving Size'!M66+M48+M137+M140)</f>
        <v>28</v>
      </c>
      <c r="N94" s="24">
        <f>SUM('Label Serving Size'!N66+N48+N137+N140)</f>
        <v>12.3</v>
      </c>
      <c r="O94" s="25">
        <f>SUM('Label Serving Size'!O66+O48+O137+O140)</f>
        <v>8.0399999999999991</v>
      </c>
      <c r="P94" s="24">
        <f>SUM('Label Serving Size'!P66+P48+P137+P140)</f>
        <v>31</v>
      </c>
      <c r="Q94" s="28">
        <f>SUM('Label Serving Size'!Q66+Q48+Q137+Q140)</f>
        <v>5</v>
      </c>
    </row>
    <row r="95" spans="1:17" ht="20.399999999999999" x14ac:dyDescent="0.35">
      <c r="A95" s="36" t="s">
        <v>180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</row>
    <row r="96" spans="1:17" x14ac:dyDescent="0.25">
      <c r="A96" s="10" t="s">
        <v>42</v>
      </c>
      <c r="B96" s="24">
        <f>SUM('Label Serving Size'!B96+B137*3+B141+B147)</f>
        <v>366</v>
      </c>
      <c r="C96" s="25">
        <f>SUM('Label Serving Size'!C96+C137*3+C141+C147)</f>
        <v>670</v>
      </c>
      <c r="D96" s="24">
        <f>SUM('Label Serving Size'!D96+D137*3+D141+D147)</f>
        <v>310</v>
      </c>
      <c r="E96" s="25">
        <f>SUM('Label Serving Size'!E96+E137*3+E141+E147)</f>
        <v>35</v>
      </c>
      <c r="F96" s="24">
        <f>SUM('Label Serving Size'!F96+F137*3+F141+F147)</f>
        <v>17.5</v>
      </c>
      <c r="G96" s="25">
        <f>SUM('Label Serving Size'!G96+G137*3+G141+G147)</f>
        <v>0</v>
      </c>
      <c r="H96" s="24">
        <f>SUM('Label Serving Size'!H96+H137*3+H141+H147)</f>
        <v>90</v>
      </c>
      <c r="I96" s="25">
        <f>SUM('Label Serving Size'!I96+I137*3+I141+I147)</f>
        <v>1710</v>
      </c>
      <c r="J96" s="24">
        <f>SUM('Label Serving Size'!J96+J137*3+J141+J147)</f>
        <v>61</v>
      </c>
      <c r="K96" s="25">
        <f>SUM('Label Serving Size'!K96+K137*3+K141+K147)</f>
        <v>7</v>
      </c>
      <c r="L96" s="24">
        <f>SUM('Label Serving Size'!L96+L137*3+L141+L147)</f>
        <v>4</v>
      </c>
      <c r="M96" s="25">
        <f>SUM('Label Serving Size'!M96+M137*3+M141+M147)</f>
        <v>31</v>
      </c>
      <c r="N96" s="24">
        <f>SUM('Label Serving Size'!N96+N137*3+N141+N147)</f>
        <v>44</v>
      </c>
      <c r="O96" s="25">
        <f>SUM('Label Serving Size'!O96+O137*3+O141+O147)</f>
        <v>44</v>
      </c>
      <c r="P96" s="24">
        <f>SUM('Label Serving Size'!P96+P137*3+P141+P147)</f>
        <v>88</v>
      </c>
      <c r="Q96" s="25">
        <f>SUM('Label Serving Size'!Q96+Q137*3+Q141+Q147)</f>
        <v>8.1999999999999993</v>
      </c>
    </row>
    <row r="97" spans="1:18" x14ac:dyDescent="0.25">
      <c r="A97" s="10" t="s">
        <v>181</v>
      </c>
      <c r="B97" s="24">
        <f>SUM('Label Serving Size'!B97+B39+B53+B137*3+B141+B147)</f>
        <v>629.33333333333337</v>
      </c>
      <c r="C97" s="25">
        <f>SUM('Label Serving Size'!C97+C39+C53+C137*3+C141+C147)</f>
        <v>1083.3333333333333</v>
      </c>
      <c r="D97" s="24">
        <f>SUM('Label Serving Size'!D97+D39+D53+D137*3+D141+D147)</f>
        <v>341.5</v>
      </c>
      <c r="E97" s="25">
        <f>SUM('Label Serving Size'!E97+E39+E53+E137*3+E141+E147)</f>
        <v>38.333333333333336</v>
      </c>
      <c r="F97" s="24">
        <f>SUM('Label Serving Size'!F97+F39+F53+F137*3+F141+F147)</f>
        <v>17.5</v>
      </c>
      <c r="G97" s="25">
        <f>SUM('Label Serving Size'!G97+G39+G53+G137*3+G141+G147)</f>
        <v>0</v>
      </c>
      <c r="H97" s="24">
        <f>SUM('Label Serving Size'!H97+H39+H53+H137*3+H141+H147)</f>
        <v>188</v>
      </c>
      <c r="I97" s="25">
        <f>SUM('Label Serving Size'!I97+I39+I53+I137*3+I141+I147)</f>
        <v>3553.6666666666665</v>
      </c>
      <c r="J97" s="24">
        <f>SUM('Label Serving Size'!J97+J39+J53+J137*3+J141+J147)</f>
        <v>112.33333333333333</v>
      </c>
      <c r="K97" s="25">
        <f>SUM('Label Serving Size'!K97+K39+K53+K137*3+K141+K147)</f>
        <v>7.666666666666667</v>
      </c>
      <c r="L97" s="24">
        <f>SUM('Label Serving Size'!L97+L39+L53+L137*3+L141+L147)</f>
        <v>30</v>
      </c>
      <c r="M97" s="25">
        <f>SUM('Label Serving Size'!M97+M39+M53+M137*3+M141+M147)</f>
        <v>74</v>
      </c>
      <c r="N97" s="24">
        <f>SUM('Label Serving Size'!N97+N39+N53+N137*3+N141+N147)</f>
        <v>49</v>
      </c>
      <c r="O97" s="25">
        <f>SUM('Label Serving Size'!O97+O39+O53+O137*3+O141+O147)</f>
        <v>56</v>
      </c>
      <c r="P97" s="24">
        <f>SUM('Label Serving Size'!P97+P39+P53+P137*3+P141+P147)</f>
        <v>128.33333333333331</v>
      </c>
      <c r="Q97" s="25">
        <f>SUM('Label Serving Size'!Q97+Q39+Q53+Q137*3+Q141+Q147)</f>
        <v>14.866666666666667</v>
      </c>
    </row>
    <row r="98" spans="1:18" x14ac:dyDescent="0.25">
      <c r="A98" s="10" t="s">
        <v>134</v>
      </c>
      <c r="B98" s="24">
        <f>SUM('Label Serving Size'!B98+B39+B48+B137*3+B141+B147)</f>
        <v>629.33333333333337</v>
      </c>
      <c r="C98" s="25">
        <f>SUM('Label Serving Size'!C98+C39+C48+C137*3+C141+C147)</f>
        <v>1103.3333333333333</v>
      </c>
      <c r="D98" s="24">
        <f>SUM('Label Serving Size'!D98+D39+D48+D137*3+D141+D147)</f>
        <v>451.5</v>
      </c>
      <c r="E98" s="25">
        <f>SUM('Label Serving Size'!E98+E39+E48+E137*3+E141+E147)</f>
        <v>51.333333333333336</v>
      </c>
      <c r="F98" s="24">
        <f>SUM('Label Serving Size'!F98+F39+F48+F137*3+F141+F147)</f>
        <v>19.5</v>
      </c>
      <c r="G98" s="25">
        <f>SUM('Label Serving Size'!G98+G39+G48+G137*3+G141+G147)</f>
        <v>1</v>
      </c>
      <c r="H98" s="24">
        <f>SUM('Label Serving Size'!H98+H39+H48+H137*3+H141+H147)</f>
        <v>188</v>
      </c>
      <c r="I98" s="25">
        <f>SUM('Label Serving Size'!I98+I39+I48+I137*3+I141+I147)</f>
        <v>3623.6666666666665</v>
      </c>
      <c r="J98" s="24">
        <f>SUM('Label Serving Size'!J98+J39+J48+J137*3+J141+J147)</f>
        <v>86.333333333333329</v>
      </c>
      <c r="K98" s="25">
        <f>SUM('Label Serving Size'!K98+K39+K48+K137*3+K141+K147)</f>
        <v>7.666666666666667</v>
      </c>
      <c r="L98" s="24">
        <f>SUM('Label Serving Size'!L98+L39+L48+L137*3+L141+L147)</f>
        <v>4</v>
      </c>
      <c r="M98" s="25">
        <f>SUM('Label Serving Size'!M98+M39+M48+M137*3+M141+M147)</f>
        <v>74</v>
      </c>
      <c r="N98" s="24">
        <f>SUM('Label Serving Size'!N98+N39+N48+N137*3+N141+N147)</f>
        <v>49.3</v>
      </c>
      <c r="O98" s="25">
        <f>SUM('Label Serving Size'!O98+O39+O48+O137*3+O141+O147)</f>
        <v>48.04</v>
      </c>
      <c r="P98" s="24">
        <f>SUM('Label Serving Size'!P98+P39+P48+P137*3+P141+P147)</f>
        <v>128.33333333333331</v>
      </c>
      <c r="Q98" s="25">
        <f>SUM('Label Serving Size'!Q98+Q39+Q48+Q137*3+Q141+Q147)</f>
        <v>14.866666666666667</v>
      </c>
    </row>
    <row r="99" spans="1:18" x14ac:dyDescent="0.25">
      <c r="A99" s="10" t="s">
        <v>182</v>
      </c>
      <c r="B99" s="24">
        <f>SUM('Label Serving Size'!B99+B39+B137*3+B124+B125+B141+B143+B144+B147)</f>
        <v>687.25448028673839</v>
      </c>
      <c r="C99" s="25">
        <f>SUM('Label Serving Size'!C99+C39+C137*3+C124+C125+C141+C143+C144+C147)</f>
        <v>1090.8064516129032</v>
      </c>
      <c r="D99" s="24">
        <f>SUM('Label Serving Size'!D99+D39+D137*3+D124+D125+D141+D143+D144+D147)</f>
        <v>384.72580645161293</v>
      </c>
      <c r="E99" s="25">
        <f>SUM('Label Serving Size'!E99+E39+E137*3+E124+E125+E141+E143+E144+E147)</f>
        <v>42.655913978494624</v>
      </c>
      <c r="F99" s="24">
        <f>SUM('Label Serving Size'!F99+F39+F137*3+F124+F125+F141+F143+F144+F147)</f>
        <v>21</v>
      </c>
      <c r="G99" s="25">
        <f>SUM('Label Serving Size'!G99+G39+G137*3+G124+G125+G141+G143+G144+G147)</f>
        <v>0</v>
      </c>
      <c r="H99" s="24">
        <f>SUM('Label Serving Size'!H99+H39+H137*3+H124+H125+H141+H143+H144+H147)</f>
        <v>203</v>
      </c>
      <c r="I99" s="25">
        <f>SUM('Label Serving Size'!I99+I39+I137*3+I124+I125+I141+I143+I144+I147)</f>
        <v>3152.4480286738349</v>
      </c>
      <c r="J99" s="24">
        <f>SUM('Label Serving Size'!J99+J39+J137*3+J124+J125+J141+J143+J144+J147)</f>
        <v>99.129032258064512</v>
      </c>
      <c r="K99" s="25">
        <f>SUM('Label Serving Size'!K99+K39+K137*3+K124+K125+K141+K143+K144+K147)</f>
        <v>10.32258064516129</v>
      </c>
      <c r="L99" s="24">
        <f>SUM('Label Serving Size'!L99+L39+L137*3+L124+L125+L141+L143+L144+L147)</f>
        <v>7.612903225806452</v>
      </c>
      <c r="M99" s="25">
        <f>SUM('Label Serving Size'!M99+M39+M137*3+M124+M125+M141+M143+M144+M147)</f>
        <v>77.745519713261643</v>
      </c>
      <c r="N99" s="24">
        <f>SUM('Label Serving Size'!N99+N39+N137*3+N124+N125+N141+N143+N144+N147)</f>
        <v>55</v>
      </c>
      <c r="O99" s="25">
        <f>SUM('Label Serving Size'!O99+O39+O137*3+O124+O125+O141+O143+O144+O147)</f>
        <v>55.29032258064516</v>
      </c>
      <c r="P99" s="24">
        <f>SUM('Label Serving Size'!P99+P39+P137*3+P124+P125+P141+P143+P144+P147)</f>
        <v>133.22222222222223</v>
      </c>
      <c r="Q99" s="25">
        <f>SUM('Label Serving Size'!Q99+Q39+Q137*3+Q124+Q125+Q141+Q143+Q144+Q147)</f>
        <v>21.533333333333335</v>
      </c>
    </row>
    <row r="100" spans="1:18" x14ac:dyDescent="0.25">
      <c r="A100" s="10" t="s">
        <v>108</v>
      </c>
      <c r="B100" s="24">
        <f>SUM('Label Serving Size'!B100+B84+B136*3+B141+B147)</f>
        <v>741</v>
      </c>
      <c r="C100" s="25">
        <f>SUM('Label Serving Size'!C100+C84+C136*3+C141+C147)</f>
        <v>1600</v>
      </c>
      <c r="D100" s="24">
        <f>SUM('Label Serving Size'!D100+D84+D136*3+D141+D147)</f>
        <v>830</v>
      </c>
      <c r="E100" s="25">
        <f>SUM('Label Serving Size'!E100+E84+E136*3+E141+E147)</f>
        <v>95</v>
      </c>
      <c r="F100" s="24">
        <f>SUM('Label Serving Size'!F100+F84+F136*3+F141+F147)</f>
        <v>44.5</v>
      </c>
      <c r="G100" s="25">
        <f>SUM('Label Serving Size'!G100+G84+G136*3+G141+G147)</f>
        <v>0</v>
      </c>
      <c r="H100" s="24">
        <f>SUM('Label Serving Size'!H100+H84+H136*3+H141+H147)</f>
        <v>275</v>
      </c>
      <c r="I100" s="25">
        <f>SUM('Label Serving Size'!I100+I84+I136*3+I141+I147)</f>
        <v>4420</v>
      </c>
      <c r="J100" s="24">
        <f>SUM('Label Serving Size'!J100+J84+J136*3+J141+J147)</f>
        <v>104</v>
      </c>
      <c r="K100" s="25">
        <f>SUM('Label Serving Size'!K100+K84+K136*3+K141+K147)</f>
        <v>9</v>
      </c>
      <c r="L100" s="24">
        <f>SUM('Label Serving Size'!L100+L84+L136*3+L141+L147)</f>
        <v>6</v>
      </c>
      <c r="M100" s="25">
        <f>SUM('Label Serving Size'!M100+M84+M136*3+M141+M147)</f>
        <v>86</v>
      </c>
      <c r="N100" s="24">
        <f>SUM('Label Serving Size'!N100+N84+N136*3+N141+N147)</f>
        <v>56</v>
      </c>
      <c r="O100" s="25">
        <f>SUM('Label Serving Size'!O100+O84+O136*3+O141+O147)</f>
        <v>44</v>
      </c>
      <c r="P100" s="24">
        <f>SUM('Label Serving Size'!P100+P84+P136*3+P141+P147)</f>
        <v>107.25999999999999</v>
      </c>
      <c r="Q100" s="25">
        <f>SUM('Label Serving Size'!Q100+Q84+Q136*3+Q141+Q147)</f>
        <v>46.2</v>
      </c>
    </row>
    <row r="101" spans="1:18" ht="20.399999999999999" x14ac:dyDescent="0.35">
      <c r="A101" s="36" t="s">
        <v>20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3"/>
      <c r="R101" s="11"/>
    </row>
    <row r="102" spans="1:18" x14ac:dyDescent="0.25">
      <c r="A102" s="8" t="s">
        <v>127</v>
      </c>
      <c r="B102" s="24">
        <f>SUM('Label Serving Size'!B102++B15+B19+B27/5*2)+SUM('Label Serving Size'!B151/2.8)</f>
        <v>594.71428571428567</v>
      </c>
      <c r="C102" s="25">
        <f>SUM('Label Serving Size'!C102++C15+C19+C27/5*2)+SUM('Label Serving Size'!C151/2.8)</f>
        <v>878.85714285714289</v>
      </c>
      <c r="D102" s="24">
        <f>SUM('Label Serving Size'!D102++D15+D19+D27/5*2)+SUM('Label Serving Size'!D151/2.8)</f>
        <v>280.25</v>
      </c>
      <c r="E102" s="25">
        <f>SUM('Label Serving Size'!E102++E15+E19+E27/5*2)+SUM('Label Serving Size'!E151/2.8)</f>
        <v>31.737142857142857</v>
      </c>
      <c r="F102" s="24">
        <f>SUM('Label Serving Size'!F102++F15+F19+F27/5*2)+SUM('Label Serving Size'!F151/2.8)</f>
        <v>6.8199999999999994</v>
      </c>
      <c r="G102" s="25">
        <f>SUM('Label Serving Size'!G102++G15+G19+G27/5*2)+SUM('Label Serving Size'!G151/2.8)</f>
        <v>0</v>
      </c>
      <c r="H102" s="24">
        <f>SUM('Label Serving Size'!H102++H15+H19+H27/5*2)+SUM('Label Serving Size'!H151/2.8)</f>
        <v>99</v>
      </c>
      <c r="I102" s="25">
        <f>SUM('Label Serving Size'!I102++I15+I19+I27/5*2)+SUM('Label Serving Size'!I151/2.8)</f>
        <v>1927.2142857142858</v>
      </c>
      <c r="J102" s="24">
        <f>SUM('Label Serving Size'!J102++J15+J19+J27/5*2)+SUM('Label Serving Size'!J151/2.8)</f>
        <v>106.69999999999999</v>
      </c>
      <c r="K102" s="25">
        <f>SUM('Label Serving Size'!K102++K15+K19+K27/5*2)+SUM('Label Serving Size'!K151/2.8)</f>
        <v>7.0142857142857142</v>
      </c>
      <c r="L102" s="24">
        <f>SUM('Label Serving Size'!L102++L15+L19+L27/5*2)+SUM('Label Serving Size'!L151/2.8)</f>
        <v>19</v>
      </c>
      <c r="M102" s="25">
        <f>SUM('Label Serving Size'!M102++M15+M19+M27/5*2)+SUM('Label Serving Size'!M151/2.8)</f>
        <v>43.01428571428572</v>
      </c>
      <c r="N102" s="24">
        <f>SUM('Label Serving Size'!N102++N15+N19+N27/5*2)+SUM('Label Serving Size'!N151/2.8)</f>
        <v>13.357142857142858</v>
      </c>
      <c r="O102" s="25">
        <f>SUM('Label Serving Size'!O102++O15+O19+O27/5*2)+SUM('Label Serving Size'!O151/2.8)</f>
        <v>24.4</v>
      </c>
      <c r="P102" s="24">
        <f>SUM('Label Serving Size'!P102++P15+P19+P27/5*2)+SUM('Label Serving Size'!P151/2.8)</f>
        <v>39.728571428571428</v>
      </c>
      <c r="Q102" s="25">
        <f>SUM('Label Serving Size'!Q102++Q15+Q19+Q27/5*2)+SUM('Label Serving Size'!Q151/2.8)</f>
        <v>21.474285714285713</v>
      </c>
    </row>
    <row r="103" spans="1:18" x14ac:dyDescent="0.25">
      <c r="A103" s="8" t="s">
        <v>128</v>
      </c>
      <c r="B103" s="24">
        <f>SUM('Label Serving Size'!B103+B15+B19+B27/5*4)+SUM('Label Serving Size'!B151/2.25)</f>
        <v>735.44444444444446</v>
      </c>
      <c r="C103" s="25">
        <f>SUM('Label Serving Size'!C103+C15+C19+C27/5*4)+SUM('Label Serving Size'!C151/2.25)</f>
        <v>1141.4444444444443</v>
      </c>
      <c r="D103" s="24">
        <f>SUM('Label Serving Size'!D103+D15+D19+D27/5*4)+SUM('Label Serving Size'!D151/2.25)</f>
        <v>349.16666666666669</v>
      </c>
      <c r="E103" s="25">
        <f>SUM('Label Serving Size'!E103+E15+E19+E27/5*4)+SUM('Label Serving Size'!E151/2.25)</f>
        <v>39.414444444444442</v>
      </c>
      <c r="F103" s="24">
        <f>SUM('Label Serving Size'!F103+F15+F19+F27/5*4)+SUM('Label Serving Size'!F151/2.25)</f>
        <v>8.58</v>
      </c>
      <c r="G103" s="25">
        <f>SUM('Label Serving Size'!G103+G15+G19+G27/5*4)+SUM('Label Serving Size'!G151/2.25)</f>
        <v>0</v>
      </c>
      <c r="H103" s="24">
        <f>SUM('Label Serving Size'!H103+H15+H19+H27/5*4)+SUM('Label Serving Size'!H151/2.25)</f>
        <v>146</v>
      </c>
      <c r="I103" s="25">
        <f>SUM('Label Serving Size'!I103+I15+I19+I27/5*4)+SUM('Label Serving Size'!I151/2.25)</f>
        <v>2725.2222222222222</v>
      </c>
      <c r="J103" s="24">
        <f>SUM('Label Serving Size'!J103+J15+J19+J27/5*4)+SUM('Label Serving Size'!J151/2.25)</f>
        <v>135.8111111111111</v>
      </c>
      <c r="K103" s="25">
        <f>SUM('Label Serving Size'!K103+K15+K19+K27/5*4)+SUM('Label Serving Size'!K151/2.25)</f>
        <v>9.18888888888889</v>
      </c>
      <c r="L103" s="24">
        <f>SUM('Label Serving Size'!L103+L15+L19+L27/5*4)+SUM('Label Serving Size'!L151/2.25)</f>
        <v>23</v>
      </c>
      <c r="M103" s="25">
        <f>SUM('Label Serving Size'!M103+M15+M19+M27/5*4)+SUM('Label Serving Size'!M151/2.25)</f>
        <v>62.4</v>
      </c>
      <c r="N103" s="24">
        <f>SUM('Label Serving Size'!N103+N15+N19+N27/5*4)+SUM('Label Serving Size'!N151/2.25)</f>
        <v>15.666666666666668</v>
      </c>
      <c r="O103" s="25">
        <f>SUM('Label Serving Size'!O103+O15+O19+O27/5*4)+SUM('Label Serving Size'!O151/2.25)</f>
        <v>25.4</v>
      </c>
      <c r="P103" s="24">
        <f>SUM('Label Serving Size'!P103+P15+P19+P27/5*4)+SUM('Label Serving Size'!P151/2.25)</f>
        <v>56.477777777777774</v>
      </c>
      <c r="Q103" s="25">
        <f>SUM('Label Serving Size'!Q103+Q15+Q19+Q27/5*4)+SUM('Label Serving Size'!Q151/2.25)</f>
        <v>28.428888888888888</v>
      </c>
    </row>
    <row r="104" spans="1:18" ht="20.399999999999999" x14ac:dyDescent="0.35">
      <c r="A104" s="36" t="s">
        <v>19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3"/>
    </row>
    <row r="105" spans="1:18" x14ac:dyDescent="0.25">
      <c r="A105" s="8" t="s">
        <v>73</v>
      </c>
      <c r="B105" s="24">
        <f>SUM('Label Serving Size'!B105)</f>
        <v>120</v>
      </c>
      <c r="C105" s="25">
        <f>SUM('Label Serving Size'!C105)</f>
        <v>140</v>
      </c>
      <c r="D105" s="24">
        <f>SUM('Label Serving Size'!D105)</f>
        <v>10</v>
      </c>
      <c r="E105" s="25">
        <f>SUM('Label Serving Size'!E105)</f>
        <v>1</v>
      </c>
      <c r="F105" s="24">
        <f>SUM('Label Serving Size'!F105)</f>
        <v>0</v>
      </c>
      <c r="G105" s="25">
        <f>SUM('Label Serving Size'!G105)</f>
        <v>0</v>
      </c>
      <c r="H105" s="24">
        <f>SUM('Label Serving Size'!H105)</f>
        <v>35</v>
      </c>
      <c r="I105" s="25">
        <f>SUM('Label Serving Size'!I105)</f>
        <v>530</v>
      </c>
      <c r="J105" s="24">
        <f>SUM('Label Serving Size'!J105)</f>
        <v>18</v>
      </c>
      <c r="K105" s="25">
        <f>SUM('Label Serving Size'!K105)</f>
        <v>2</v>
      </c>
      <c r="L105" s="24">
        <f>SUM('Label Serving Size'!L105)</f>
        <v>0</v>
      </c>
      <c r="M105" s="25">
        <f>SUM('Label Serving Size'!M105)</f>
        <v>16</v>
      </c>
      <c r="N105" s="24">
        <f>SUM('Label Serving Size'!N105)</f>
        <v>2</v>
      </c>
      <c r="O105" s="25">
        <f>SUM('Label Serving Size'!O105)</f>
        <v>0</v>
      </c>
      <c r="P105" s="24">
        <f>SUM('Label Serving Size'!P105)</f>
        <v>4</v>
      </c>
      <c r="Q105" s="25">
        <f>SUM('Label Serving Size'!Q105)</f>
        <v>4</v>
      </c>
    </row>
    <row r="106" spans="1:18" x14ac:dyDescent="0.25">
      <c r="A106" s="10" t="s">
        <v>105</v>
      </c>
      <c r="B106" s="24">
        <f>SUM('Label Serving Size'!B106*2)</f>
        <v>240</v>
      </c>
      <c r="C106" s="25">
        <f>SUM('Label Serving Size'!C106*2)</f>
        <v>280</v>
      </c>
      <c r="D106" s="24">
        <f>SUM('Label Serving Size'!D106*2)</f>
        <v>20</v>
      </c>
      <c r="E106" s="25">
        <f>SUM('Label Serving Size'!E106*2)</f>
        <v>2</v>
      </c>
      <c r="F106" s="24">
        <f>SUM('Label Serving Size'!F106*2)</f>
        <v>0</v>
      </c>
      <c r="G106" s="25">
        <f>SUM('Label Serving Size'!G106*2)</f>
        <v>0</v>
      </c>
      <c r="H106" s="24">
        <f>SUM('Label Serving Size'!H106*2)</f>
        <v>70</v>
      </c>
      <c r="I106" s="25">
        <f>SUM('Label Serving Size'!I106*2)</f>
        <v>1060</v>
      </c>
      <c r="J106" s="24">
        <f>SUM('Label Serving Size'!J106*2)</f>
        <v>36</v>
      </c>
      <c r="K106" s="25">
        <f>SUM('Label Serving Size'!K106*2)</f>
        <v>4</v>
      </c>
      <c r="L106" s="24">
        <f>SUM('Label Serving Size'!L106*2)</f>
        <v>0</v>
      </c>
      <c r="M106" s="25">
        <f>SUM('Label Serving Size'!M106*2)</f>
        <v>32</v>
      </c>
      <c r="N106" s="24">
        <f>SUM('Label Serving Size'!N106*2)</f>
        <v>4</v>
      </c>
      <c r="O106" s="25">
        <f>SUM('Label Serving Size'!O106*2)</f>
        <v>0</v>
      </c>
      <c r="P106" s="24">
        <f>SUM('Label Serving Size'!P106*2)</f>
        <v>8</v>
      </c>
      <c r="Q106" s="25">
        <f>SUM('Label Serving Size'!Q106*2)</f>
        <v>8</v>
      </c>
    </row>
    <row r="107" spans="1:18" ht="20.399999999999999" x14ac:dyDescent="0.35">
      <c r="A107" s="36" t="s">
        <v>26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3"/>
    </row>
    <row r="108" spans="1:18" x14ac:dyDescent="0.25">
      <c r="A108" s="8" t="s">
        <v>77</v>
      </c>
      <c r="B108" s="24">
        <f>SUM('Label Serving Size'!B108+B19+B116)</f>
        <v>302</v>
      </c>
      <c r="C108" s="25">
        <f>SUM('Label Serving Size'!C108+C19+C116)</f>
        <v>746</v>
      </c>
      <c r="D108" s="24">
        <f>SUM('Label Serving Size'!D108+D19+D116)</f>
        <v>250.5</v>
      </c>
      <c r="E108" s="25">
        <f>SUM('Label Serving Size'!E108+E19+E116)</f>
        <v>28.2</v>
      </c>
      <c r="F108" s="24">
        <f>SUM('Label Serving Size'!F108+F19+F116)</f>
        <v>10.3</v>
      </c>
      <c r="G108" s="25">
        <f>SUM('Label Serving Size'!G108+G19+G116)</f>
        <v>0.5</v>
      </c>
      <c r="H108" s="24">
        <f>SUM('Label Serving Size'!H108+H19+H116)</f>
        <v>40</v>
      </c>
      <c r="I108" s="25">
        <f>SUM('Label Serving Size'!I108+I19+I116)</f>
        <v>828</v>
      </c>
      <c r="J108" s="24">
        <f>SUM('Label Serving Size'!J108+J19+J116)</f>
        <v>113.69999999999999</v>
      </c>
      <c r="K108" s="25">
        <f>SUM('Label Serving Size'!K108+K19+K116)</f>
        <v>2.2999999999999998</v>
      </c>
      <c r="L108" s="24">
        <f>SUM('Label Serving Size'!L108+L19+L116)</f>
        <v>70</v>
      </c>
      <c r="M108" s="25">
        <f>SUM('Label Serving Size'!M108+M19+M116)</f>
        <v>12.6</v>
      </c>
      <c r="N108" s="24">
        <f>SUM('Label Serving Size'!N108+N19+N116)</f>
        <v>2</v>
      </c>
      <c r="O108" s="25">
        <f>SUM('Label Serving Size'!O108+O19+O116)</f>
        <v>18.399999999999999</v>
      </c>
      <c r="P108" s="24">
        <f>SUM('Label Serving Size'!P108+P19+P116)</f>
        <v>0</v>
      </c>
      <c r="Q108" s="25">
        <f>SUM('Label Serving Size'!Q108+Q19+Q116)</f>
        <v>17.2</v>
      </c>
    </row>
    <row r="109" spans="1:18" x14ac:dyDescent="0.25">
      <c r="A109" s="10" t="s">
        <v>76</v>
      </c>
      <c r="B109" s="24">
        <f>SUM('Label Serving Size'!B109+B19+B116)</f>
        <v>312</v>
      </c>
      <c r="C109" s="25">
        <f>SUM('Label Serving Size'!C109+C19+C116)</f>
        <v>630</v>
      </c>
      <c r="D109" s="24">
        <f>SUM('Label Serving Size'!D109+D19+D116)</f>
        <v>89.5</v>
      </c>
      <c r="E109" s="25">
        <f>SUM('Label Serving Size'!E109+E19+E116)</f>
        <v>10.199999999999999</v>
      </c>
      <c r="F109" s="24">
        <f>SUM('Label Serving Size'!F109+F19+F116)</f>
        <v>2.2999999999999998</v>
      </c>
      <c r="G109" s="25">
        <f>SUM('Label Serving Size'!G109+G19+G116)</f>
        <v>0</v>
      </c>
      <c r="H109" s="24">
        <f>SUM('Label Serving Size'!H109+H19+H116)</f>
        <v>49</v>
      </c>
      <c r="I109" s="25">
        <f>SUM('Label Serving Size'!I109+I19+I116)</f>
        <v>193</v>
      </c>
      <c r="J109" s="24">
        <f>SUM('Label Serving Size'!J109+J19+J116)</f>
        <v>113.69999999999999</v>
      </c>
      <c r="K109" s="25">
        <f>SUM('Label Serving Size'!K109+K19+K116)</f>
        <v>2.2999999999999998</v>
      </c>
      <c r="L109" s="24">
        <f>SUM('Label Serving Size'!L109+L19+L116)</f>
        <v>70</v>
      </c>
      <c r="M109" s="25">
        <f>SUM('Label Serving Size'!M109+M19+M116)</f>
        <v>24.6</v>
      </c>
      <c r="N109" s="24">
        <f>SUM('Label Serving Size'!N109+N19+N116)</f>
        <v>0</v>
      </c>
      <c r="O109" s="25">
        <f>SUM('Label Serving Size'!O109+O19+O116)</f>
        <v>20.399999999999999</v>
      </c>
      <c r="P109" s="24">
        <f>SUM('Label Serving Size'!P109+P19+P116)</f>
        <v>9</v>
      </c>
      <c r="Q109" s="25">
        <f>SUM('Label Serving Size'!Q109+Q19+Q116)</f>
        <v>12.2</v>
      </c>
    </row>
    <row r="110" spans="1:18" x14ac:dyDescent="0.25">
      <c r="A110" s="10" t="s">
        <v>78</v>
      </c>
      <c r="B110" s="24">
        <f>SUM('Label Serving Size'!B110+B137+B19+B116)</f>
        <v>359</v>
      </c>
      <c r="C110" s="25">
        <f>SUM('Label Serving Size'!C110+C137+C19+C116)</f>
        <v>956</v>
      </c>
      <c r="D110" s="24">
        <f>SUM('Label Serving Size'!D110+D137+D19+D116)</f>
        <v>230.5</v>
      </c>
      <c r="E110" s="25">
        <f>SUM('Label Serving Size'!E110+E137+E19+E116)</f>
        <v>26.2</v>
      </c>
      <c r="F110" s="24">
        <f>SUM('Label Serving Size'!F110+F137+F19+F116)</f>
        <v>9.8000000000000007</v>
      </c>
      <c r="G110" s="25">
        <f>SUM('Label Serving Size'!G110+G137+G19+G116)</f>
        <v>0</v>
      </c>
      <c r="H110" s="24">
        <f>SUM('Label Serving Size'!H110+H137+H19+H116)</f>
        <v>30</v>
      </c>
      <c r="I110" s="25">
        <f>SUM('Label Serving Size'!I110+I137+I19+I116)</f>
        <v>978</v>
      </c>
      <c r="J110" s="24">
        <f>SUM('Label Serving Size'!J110+J137+J19+J116)</f>
        <v>166.7</v>
      </c>
      <c r="K110" s="25">
        <f>SUM('Label Serving Size'!K110+K137+K19+K116)</f>
        <v>7.3</v>
      </c>
      <c r="L110" s="24">
        <f>SUM('Label Serving Size'!L110+L137+L19+L116)</f>
        <v>71</v>
      </c>
      <c r="M110" s="25">
        <f>SUM('Label Serving Size'!M110+M137+M19+M116)</f>
        <v>20.6</v>
      </c>
      <c r="N110" s="24">
        <f>SUM('Label Serving Size'!N110+N137+N19+N116)</f>
        <v>6</v>
      </c>
      <c r="O110" s="25">
        <f>SUM('Label Serving Size'!O110+O137+O19+O116)</f>
        <v>18.399999999999999</v>
      </c>
      <c r="P110" s="24">
        <f>SUM('Label Serving Size'!P110+P137+P19+P116)</f>
        <v>40</v>
      </c>
      <c r="Q110" s="25">
        <f>SUM('Label Serving Size'!Q110+Q137+Q19+Q116)</f>
        <v>9.3999999999999986</v>
      </c>
    </row>
    <row r="111" spans="1:18" x14ac:dyDescent="0.25">
      <c r="A111" s="10" t="s">
        <v>79</v>
      </c>
      <c r="B111" s="24">
        <f>SUM('Label Serving Size'!B111/2+B19+B116)</f>
        <v>266.5</v>
      </c>
      <c r="C111" s="25">
        <f>SUM('Label Serving Size'!C111/2+C19+C116)</f>
        <v>651</v>
      </c>
      <c r="D111" s="24">
        <f>SUM('Label Serving Size'!D111/2+D19+D116)</f>
        <v>140.5</v>
      </c>
      <c r="E111" s="25">
        <f>SUM('Label Serving Size'!E111/2+E19+E116)</f>
        <v>15.7</v>
      </c>
      <c r="F111" s="24">
        <f>SUM('Label Serving Size'!F111/2+F19+F116)</f>
        <v>4.05</v>
      </c>
      <c r="G111" s="25">
        <f>SUM('Label Serving Size'!G111/2+G19+G116)</f>
        <v>0</v>
      </c>
      <c r="H111" s="24">
        <f>SUM('Label Serving Size'!H111/2+H19+H116)</f>
        <v>12.5</v>
      </c>
      <c r="I111" s="25">
        <f>SUM('Label Serving Size'!I111/2+I19+I116)</f>
        <v>408</v>
      </c>
      <c r="J111" s="24">
        <f>SUM('Label Serving Size'!J111/2+J19+J116)</f>
        <v>125.69999999999999</v>
      </c>
      <c r="K111" s="25">
        <f>SUM('Label Serving Size'!K111/2+K19+K116)</f>
        <v>2.2999999999999998</v>
      </c>
      <c r="L111" s="24">
        <f>SUM('Label Serving Size'!L111/2+L19+L116)</f>
        <v>73</v>
      </c>
      <c r="M111" s="25">
        <f>SUM('Label Serving Size'!M111/2+M19+M116)</f>
        <v>7.1</v>
      </c>
      <c r="N111" s="24">
        <f>SUM('Label Serving Size'!N111/2+N19+N116)</f>
        <v>0</v>
      </c>
      <c r="O111" s="25">
        <f>SUM('Label Serving Size'!O111/2+O19+O116)</f>
        <v>18.399999999999999</v>
      </c>
      <c r="P111" s="24">
        <f>SUM('Label Serving Size'!P111/2+P19+P116)</f>
        <v>1</v>
      </c>
      <c r="Q111" s="25">
        <f>SUM('Label Serving Size'!Q111/2+Q19+Q116)</f>
        <v>11.2</v>
      </c>
    </row>
    <row r="112" spans="1:18" ht="20.399999999999999" x14ac:dyDescent="0.35">
      <c r="A112" s="36" t="s">
        <v>38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3"/>
    </row>
    <row r="113" spans="1:17" x14ac:dyDescent="0.25">
      <c r="A113" s="8" t="s">
        <v>74</v>
      </c>
      <c r="B113" s="24">
        <f>SUM('Label Serving Size'!B113)</f>
        <v>120</v>
      </c>
      <c r="C113" s="25">
        <f>SUM('Label Serving Size'!C113)</f>
        <v>380</v>
      </c>
      <c r="D113" s="24">
        <f>SUM('Label Serving Size'!D113)</f>
        <v>190</v>
      </c>
      <c r="E113" s="25">
        <f>SUM('Label Serving Size'!E113)</f>
        <v>190</v>
      </c>
      <c r="F113" s="24">
        <f>SUM('Label Serving Size'!F113)</f>
        <v>11</v>
      </c>
      <c r="G113" s="25">
        <f>SUM('Label Serving Size'!G113)</f>
        <v>0</v>
      </c>
      <c r="H113" s="24">
        <f>SUM('Label Serving Size'!H113)</f>
        <v>85</v>
      </c>
      <c r="I113" s="25">
        <f>SUM('Label Serving Size'!I113)</f>
        <v>180</v>
      </c>
      <c r="J113" s="24">
        <f>SUM('Label Serving Size'!J113)</f>
        <v>38</v>
      </c>
      <c r="K113" s="25">
        <f>SUM('Label Serving Size'!K113)</f>
        <v>0</v>
      </c>
      <c r="L113" s="24">
        <f>SUM('Label Serving Size'!L113)</f>
        <v>12</v>
      </c>
      <c r="M113" s="25">
        <f>SUM('Label Serving Size'!M113)</f>
        <v>7</v>
      </c>
      <c r="N113" s="24">
        <f>SUM('Label Serving Size'!N113)</f>
        <v>10</v>
      </c>
      <c r="O113" s="25">
        <f>SUM('Label Serving Size'!O113)</f>
        <v>2</v>
      </c>
      <c r="P113" s="24">
        <f>SUM('Label Serving Size'!P113)</f>
        <v>10</v>
      </c>
      <c r="Q113" s="25">
        <f>SUM('Label Serving Size'!Q113)</f>
        <v>8</v>
      </c>
    </row>
    <row r="114" spans="1:17" x14ac:dyDescent="0.25">
      <c r="A114" s="16" t="s">
        <v>173</v>
      </c>
      <c r="B114" s="24">
        <f>SUM('Label Serving Size'!B114)+SUM('Label Serving Size'!B152*2)</f>
        <v>210</v>
      </c>
      <c r="C114" s="25">
        <f>SUM('Label Serving Size'!C114)+SUM('Label Serving Size'!C152*2)</f>
        <v>840</v>
      </c>
      <c r="D114" s="24">
        <f>SUM('Label Serving Size'!D114)+SUM('Label Serving Size'!D152*2)</f>
        <v>420</v>
      </c>
      <c r="E114" s="25">
        <f>SUM('Label Serving Size'!E114)+SUM('Label Serving Size'!E152*2)</f>
        <v>47</v>
      </c>
      <c r="F114" s="24">
        <f>SUM('Label Serving Size'!F114)+SUM('Label Serving Size'!F152*2)</f>
        <v>22</v>
      </c>
      <c r="G114" s="25">
        <f>SUM('Label Serving Size'!G114)+SUM('Label Serving Size'!G152*2)</f>
        <v>0</v>
      </c>
      <c r="H114" s="24">
        <f>SUM('Label Serving Size'!H114)+SUM('Label Serving Size'!H152*2)</f>
        <v>205</v>
      </c>
      <c r="I114" s="25">
        <f>SUM('Label Serving Size'!I114)+SUM('Label Serving Size'!I152*2)</f>
        <v>330</v>
      </c>
      <c r="J114" s="24">
        <f>SUM('Label Serving Size'!J114)+SUM('Label Serving Size'!J152*2)</f>
        <v>98</v>
      </c>
      <c r="K114" s="25">
        <f>SUM('Label Serving Size'!K114)+SUM('Label Serving Size'!K152*2)</f>
        <v>2</v>
      </c>
      <c r="L114" s="24">
        <f>SUM('Label Serving Size'!L114)+SUM('Label Serving Size'!L152*2)</f>
        <v>75</v>
      </c>
      <c r="M114" s="25">
        <f>SUM('Label Serving Size'!M114)+SUM('Label Serving Size'!M152*2)</f>
        <v>10</v>
      </c>
      <c r="N114" s="24">
        <f>SUM('Label Serving Size'!N114)+SUM('Label Serving Size'!N152*2)</f>
        <v>45</v>
      </c>
      <c r="O114" s="25">
        <f>SUM('Label Serving Size'!O114)+SUM('Label Serving Size'!O152*2)</f>
        <v>0</v>
      </c>
      <c r="P114" s="24">
        <f>SUM('Label Serving Size'!P114)+SUM('Label Serving Size'!P152*2)</f>
        <v>22</v>
      </c>
      <c r="Q114" s="25">
        <f>SUM('Label Serving Size'!Q114)+SUM('Label Serving Size'!Q152*2)</f>
        <v>15</v>
      </c>
    </row>
    <row r="115" spans="1:17" ht="20.399999999999999" x14ac:dyDescent="0.35">
      <c r="A115" s="36" t="s">
        <v>75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3"/>
    </row>
    <row r="116" spans="1:17" x14ac:dyDescent="0.25">
      <c r="A116" s="10" t="s">
        <v>80</v>
      </c>
      <c r="B116" s="24">
        <f>SUM('Label Serving Size'!B116*2.5)</f>
        <v>20</v>
      </c>
      <c r="C116" s="25">
        <f>SUM('Label Serving Size'!C116*2.5)</f>
        <v>260</v>
      </c>
      <c r="D116" s="24">
        <f>SUM('Label Serving Size'!D116*2.5)</f>
        <v>0</v>
      </c>
      <c r="E116" s="25">
        <f>SUM('Label Serving Size'!E116*2.5)</f>
        <v>0</v>
      </c>
      <c r="F116" s="24">
        <f>SUM('Label Serving Size'!F116*2.5)</f>
        <v>0</v>
      </c>
      <c r="G116" s="25">
        <f>SUM('Label Serving Size'!G116*2.5)</f>
        <v>0</v>
      </c>
      <c r="H116" s="24">
        <f>SUM('Label Serving Size'!H116*2.5)</f>
        <v>0</v>
      </c>
      <c r="I116" s="25">
        <f>SUM('Label Serving Size'!I116*2.5)</f>
        <v>0</v>
      </c>
      <c r="J116" s="24">
        <f>SUM('Label Serving Size'!J116*2.5)</f>
        <v>70</v>
      </c>
      <c r="K116" s="25">
        <f>SUM('Label Serving Size'!K116*2.5)</f>
        <v>0</v>
      </c>
      <c r="L116" s="24">
        <f>SUM('Label Serving Size'!L116*2.5)</f>
        <v>70</v>
      </c>
      <c r="M116" s="25">
        <f>SUM('Label Serving Size'!M116*2.5)</f>
        <v>0</v>
      </c>
      <c r="N116" s="24">
        <f>SUM('Label Serving Size'!N116*2.5)</f>
        <v>0</v>
      </c>
      <c r="O116" s="25">
        <f>SUM('Label Serving Size'!O116*2.5)</f>
        <v>0</v>
      </c>
      <c r="P116" s="24">
        <f>SUM('Label Serving Size'!P116*2.5)</f>
        <v>0</v>
      </c>
      <c r="Q116" s="25">
        <f>SUM('Label Serving Size'!Q116*2.5)</f>
        <v>0</v>
      </c>
    </row>
    <row r="117" spans="1:17" x14ac:dyDescent="0.25">
      <c r="A117" s="10" t="s">
        <v>81</v>
      </c>
      <c r="B117" s="24">
        <f>SUM('Label Serving Size'!B117*2.5)</f>
        <v>20</v>
      </c>
      <c r="C117" s="25">
        <f>SUM('Label Serving Size'!C117*2.5)</f>
        <v>0</v>
      </c>
      <c r="D117" s="24">
        <f>SUM('Label Serving Size'!D117*2.5)</f>
        <v>0</v>
      </c>
      <c r="E117" s="25">
        <f>SUM('Label Serving Size'!E117*2.5)</f>
        <v>0</v>
      </c>
      <c r="F117" s="24">
        <f>SUM('Label Serving Size'!F117*2.5)</f>
        <v>0</v>
      </c>
      <c r="G117" s="25">
        <f>SUM('Label Serving Size'!G117*2.5)</f>
        <v>0</v>
      </c>
      <c r="H117" s="24">
        <f>SUM('Label Serving Size'!H117*2.5)</f>
        <v>0</v>
      </c>
      <c r="I117" s="25">
        <f>SUM('Label Serving Size'!I117*2.5)</f>
        <v>25</v>
      </c>
      <c r="J117" s="24">
        <f>SUM('Label Serving Size'!J117*2.5)</f>
        <v>0</v>
      </c>
      <c r="K117" s="25">
        <f>SUM('Label Serving Size'!K117*2.5)</f>
        <v>0</v>
      </c>
      <c r="L117" s="24">
        <f>SUM('Label Serving Size'!L117*2.5)</f>
        <v>0</v>
      </c>
      <c r="M117" s="25">
        <f>SUM('Label Serving Size'!M117*2.5)</f>
        <v>0</v>
      </c>
      <c r="N117" s="24">
        <f>SUM('Label Serving Size'!N117*2.5)</f>
        <v>0</v>
      </c>
      <c r="O117" s="25">
        <f>SUM('Label Serving Size'!O117*2.5)</f>
        <v>0</v>
      </c>
      <c r="P117" s="24">
        <f>SUM('Label Serving Size'!P117*2.5)</f>
        <v>0</v>
      </c>
      <c r="Q117" s="25">
        <f>SUM('Label Serving Size'!Q117*2.5)</f>
        <v>0</v>
      </c>
    </row>
    <row r="118" spans="1:17" x14ac:dyDescent="0.25">
      <c r="A118" s="10" t="s">
        <v>83</v>
      </c>
      <c r="B118" s="24">
        <f>SUM('Label Serving Size'!B118*2.5)</f>
        <v>20</v>
      </c>
      <c r="C118" s="25">
        <f>SUM('Label Serving Size'!C118*2.5)</f>
        <v>260</v>
      </c>
      <c r="D118" s="24">
        <f>SUM('Label Serving Size'!D118*2.5)</f>
        <v>0</v>
      </c>
      <c r="E118" s="25">
        <f>SUM('Label Serving Size'!E118*2.5)</f>
        <v>0</v>
      </c>
      <c r="F118" s="24">
        <f>SUM('Label Serving Size'!F118*2.5)</f>
        <v>0</v>
      </c>
      <c r="G118" s="25">
        <f>SUM('Label Serving Size'!G118*2.5)</f>
        <v>0</v>
      </c>
      <c r="H118" s="24">
        <f>SUM('Label Serving Size'!H118*2.5)</f>
        <v>0</v>
      </c>
      <c r="I118" s="25">
        <f>SUM('Label Serving Size'!I118*2.5)</f>
        <v>0</v>
      </c>
      <c r="J118" s="24">
        <f>SUM('Label Serving Size'!J118*2.5)</f>
        <v>70</v>
      </c>
      <c r="K118" s="25">
        <f>SUM('Label Serving Size'!K118*2.5)</f>
        <v>0</v>
      </c>
      <c r="L118" s="24">
        <f>SUM('Label Serving Size'!L118*2.5)</f>
        <v>70</v>
      </c>
      <c r="M118" s="25">
        <f>SUM('Label Serving Size'!M118*2.5)</f>
        <v>0</v>
      </c>
      <c r="N118" s="24">
        <f>SUM('Label Serving Size'!N118*2.5)</f>
        <v>0</v>
      </c>
      <c r="O118" s="25">
        <f>SUM('Label Serving Size'!O118*2.5)</f>
        <v>0</v>
      </c>
      <c r="P118" s="24">
        <f>SUM('Label Serving Size'!P118*2.5)</f>
        <v>0</v>
      </c>
      <c r="Q118" s="25">
        <f>SUM('Label Serving Size'!Q118*2.5)</f>
        <v>0</v>
      </c>
    </row>
    <row r="119" spans="1:17" x14ac:dyDescent="0.25">
      <c r="A119" s="10" t="s">
        <v>82</v>
      </c>
      <c r="B119" s="24">
        <f>SUM('Label Serving Size'!B119*2.5)</f>
        <v>20</v>
      </c>
      <c r="C119" s="25">
        <f>SUM('Label Serving Size'!C119*2.5)</f>
        <v>242.5</v>
      </c>
      <c r="D119" s="24">
        <f>SUM('Label Serving Size'!D119*2.5)</f>
        <v>0</v>
      </c>
      <c r="E119" s="25">
        <f>SUM('Label Serving Size'!E119*2.5)</f>
        <v>0</v>
      </c>
      <c r="F119" s="24">
        <f>SUM('Label Serving Size'!F119*2.5)</f>
        <v>0</v>
      </c>
      <c r="G119" s="25">
        <f>SUM('Label Serving Size'!G119*2.5)</f>
        <v>0</v>
      </c>
      <c r="H119" s="24">
        <f>SUM('Label Serving Size'!H119*2.5)</f>
        <v>0</v>
      </c>
      <c r="I119" s="25">
        <f>SUM('Label Serving Size'!I119*2.5)</f>
        <v>55</v>
      </c>
      <c r="J119" s="24">
        <f>SUM('Label Serving Size'!J119*2.5)</f>
        <v>65</v>
      </c>
      <c r="K119" s="25">
        <f>SUM('Label Serving Size'!K119*2.5)</f>
        <v>0</v>
      </c>
      <c r="L119" s="24">
        <f>SUM('Label Serving Size'!L119*2.5)</f>
        <v>65</v>
      </c>
      <c r="M119" s="25">
        <f>SUM('Label Serving Size'!M119*2.5)</f>
        <v>0</v>
      </c>
      <c r="N119" s="24">
        <f>SUM('Label Serving Size'!N119*2.5)</f>
        <v>0</v>
      </c>
      <c r="O119" s="25">
        <f>SUM('Label Serving Size'!O119*2.5)</f>
        <v>0</v>
      </c>
      <c r="P119" s="24">
        <f>SUM('Label Serving Size'!P119*2.5)</f>
        <v>0</v>
      </c>
      <c r="Q119" s="25">
        <f>SUM('Label Serving Size'!Q119*2.5)</f>
        <v>0</v>
      </c>
    </row>
    <row r="120" spans="1:17" x14ac:dyDescent="0.25">
      <c r="A120" s="10" t="s">
        <v>156</v>
      </c>
      <c r="B120" s="24">
        <f>SUM('Label Serving Size'!B120*2.5)</f>
        <v>20</v>
      </c>
      <c r="C120" s="25">
        <f>SUM('Label Serving Size'!C120*2.5)</f>
        <v>155</v>
      </c>
      <c r="D120" s="24">
        <f>SUM('Label Serving Size'!D120*2.5)</f>
        <v>0</v>
      </c>
      <c r="E120" s="25">
        <f>SUM('Label Serving Size'!E120*2.5)</f>
        <v>0</v>
      </c>
      <c r="F120" s="24">
        <f>SUM('Label Serving Size'!F120*2.5)</f>
        <v>0</v>
      </c>
      <c r="G120" s="25">
        <f>SUM('Label Serving Size'!G120*2.5)</f>
        <v>0</v>
      </c>
      <c r="H120" s="24">
        <f>SUM('Label Serving Size'!H120*2.5)</f>
        <v>0</v>
      </c>
      <c r="I120" s="25">
        <f>SUM('Label Serving Size'!I120*2.5)</f>
        <v>35</v>
      </c>
      <c r="J120" s="24">
        <f>SUM('Label Serving Size'!J120*2.5)</f>
        <v>42.5</v>
      </c>
      <c r="K120" s="25">
        <f>SUM('Label Serving Size'!K120*2.5)</f>
        <v>0</v>
      </c>
      <c r="L120" s="24">
        <f>SUM('Label Serving Size'!L120*2.5)</f>
        <v>42.5</v>
      </c>
      <c r="M120" s="25">
        <f>SUM('Label Serving Size'!M120*2.5)</f>
        <v>0</v>
      </c>
      <c r="N120" s="24">
        <f>SUM('Label Serving Size'!N120*2.5)</f>
        <v>0</v>
      </c>
      <c r="O120" s="25">
        <f>SUM('Label Serving Size'!O120*2.5)</f>
        <v>0</v>
      </c>
      <c r="P120" s="24">
        <f>SUM('Label Serving Size'!P120*2.5)</f>
        <v>0</v>
      </c>
      <c r="Q120" s="25">
        <f>SUM('Label Serving Size'!Q120*2.5)</f>
        <v>0</v>
      </c>
    </row>
    <row r="121" spans="1:17" x14ac:dyDescent="0.25">
      <c r="A121" s="10" t="s">
        <v>84</v>
      </c>
      <c r="B121" s="24">
        <f>SUM('Label Serving Size'!B121*2.5)</f>
        <v>20</v>
      </c>
      <c r="C121" s="25">
        <f>SUM('Label Serving Size'!C121*2.5)</f>
        <v>240</v>
      </c>
      <c r="D121" s="24">
        <f>SUM('Label Serving Size'!D121*2.5)</f>
        <v>0</v>
      </c>
      <c r="E121" s="25">
        <f>SUM('Label Serving Size'!E121*2.5)</f>
        <v>0</v>
      </c>
      <c r="F121" s="24">
        <f>SUM('Label Serving Size'!F121*2.5)</f>
        <v>0</v>
      </c>
      <c r="G121" s="25">
        <f>SUM('Label Serving Size'!G121*2.5)</f>
        <v>0</v>
      </c>
      <c r="H121" s="24">
        <f>SUM('Label Serving Size'!H121*2.5)</f>
        <v>0</v>
      </c>
      <c r="I121" s="25">
        <f>SUM('Label Serving Size'!I121*2.5)</f>
        <v>102.5</v>
      </c>
      <c r="J121" s="24">
        <f>SUM('Label Serving Size'!J121*2.5)</f>
        <v>60</v>
      </c>
      <c r="K121" s="25">
        <f>SUM('Label Serving Size'!K121*2.5)</f>
        <v>0</v>
      </c>
      <c r="L121" s="24">
        <f>SUM('Label Serving Size'!L121*2.5)</f>
        <v>60</v>
      </c>
      <c r="M121" s="25">
        <f>SUM('Label Serving Size'!M121*2.5)</f>
        <v>0</v>
      </c>
      <c r="N121" s="24">
        <f>SUM('Label Serving Size'!N121*2.5)</f>
        <v>0</v>
      </c>
      <c r="O121" s="25">
        <f>SUM('Label Serving Size'!O121*2.5)</f>
        <v>0</v>
      </c>
      <c r="P121" s="24">
        <f>SUM('Label Serving Size'!P121*2.5)</f>
        <v>0</v>
      </c>
      <c r="Q121" s="25">
        <f>SUM('Label Serving Size'!Q121*2.5)</f>
        <v>0</v>
      </c>
    </row>
    <row r="122" spans="1:17" ht="20.399999999999999" x14ac:dyDescent="0.35">
      <c r="A122" s="36" t="s">
        <v>29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3"/>
    </row>
    <row r="123" spans="1:17" x14ac:dyDescent="0.25">
      <c r="A123" s="8" t="s">
        <v>100</v>
      </c>
      <c r="B123" s="24">
        <f>SUM('Label Serving Size'!B123)</f>
        <v>100</v>
      </c>
      <c r="C123" s="25">
        <f>SUM('Label Serving Size'!C123)</f>
        <v>548</v>
      </c>
      <c r="D123" s="24">
        <f>SUM('Label Serving Size'!D123)</f>
        <v>389</v>
      </c>
      <c r="E123" s="25">
        <f>SUM('Label Serving Size'!E123)</f>
        <v>43.27</v>
      </c>
      <c r="F123" s="24">
        <f>SUM('Label Serving Size'!F123)</f>
        <v>14.18</v>
      </c>
      <c r="G123" s="25">
        <f>SUM('Label Serving Size'!G123)</f>
        <v>0</v>
      </c>
      <c r="H123" s="24">
        <f>SUM('Label Serving Size'!H123)</f>
        <v>107</v>
      </c>
      <c r="I123" s="25">
        <f>SUM('Label Serving Size'!I123)</f>
        <v>2193</v>
      </c>
      <c r="J123" s="24">
        <f>SUM('Label Serving Size'!J123)</f>
        <v>1.35</v>
      </c>
      <c r="K123" s="25">
        <f>SUM('Label Serving Size'!K123)</f>
        <v>0</v>
      </c>
      <c r="L123" s="24">
        <f>SUM('Label Serving Size'!L123)</f>
        <v>0</v>
      </c>
      <c r="M123" s="25">
        <f>SUM('Label Serving Size'!M123)</f>
        <v>35.700000000000003</v>
      </c>
      <c r="N123" s="24">
        <f>SUM('Label Serving Size'!N123)</f>
        <v>0.74</v>
      </c>
      <c r="O123" s="25">
        <f>SUM('Label Serving Size'!O123)</f>
        <v>0</v>
      </c>
      <c r="P123" s="24">
        <f>SUM('Label Serving Size'!P123)</f>
        <v>1</v>
      </c>
      <c r="Q123" s="25">
        <f>SUM('Label Serving Size'!Q123)</f>
        <v>8.2799999999999994</v>
      </c>
    </row>
    <row r="124" spans="1:17" x14ac:dyDescent="0.25">
      <c r="A124" s="8" t="s">
        <v>87</v>
      </c>
      <c r="B124" s="24">
        <f>SUM('Label Serving Size'!B124)</f>
        <v>30</v>
      </c>
      <c r="C124" s="25">
        <f>SUM('Label Serving Size'!C124)</f>
        <v>15</v>
      </c>
      <c r="D124" s="24">
        <f>SUM('Label Serving Size'!D124)</f>
        <v>0</v>
      </c>
      <c r="E124" s="25">
        <f>SUM('Label Serving Size'!E124)</f>
        <v>0</v>
      </c>
      <c r="F124" s="24">
        <f>SUM('Label Serving Size'!F124)</f>
        <v>0</v>
      </c>
      <c r="G124" s="25">
        <f>SUM('Label Serving Size'!G124)</f>
        <v>0</v>
      </c>
      <c r="H124" s="24">
        <f>SUM('Label Serving Size'!H124)</f>
        <v>0</v>
      </c>
      <c r="I124" s="25">
        <f>SUM('Label Serving Size'!I124)</f>
        <v>215</v>
      </c>
      <c r="J124" s="24">
        <f>SUM('Label Serving Size'!J124)</f>
        <v>2</v>
      </c>
      <c r="K124" s="25">
        <f>SUM('Label Serving Size'!K124)</f>
        <v>1</v>
      </c>
      <c r="L124" s="24">
        <f>SUM('Label Serving Size'!L124)</f>
        <v>1</v>
      </c>
      <c r="M124" s="25">
        <f>SUM('Label Serving Size'!M124)</f>
        <v>0</v>
      </c>
      <c r="N124" s="24">
        <f>SUM('Label Serving Size'!N124)</f>
        <v>2</v>
      </c>
      <c r="O124" s="25">
        <f>SUM('Label Serving Size'!O124)</f>
        <v>6</v>
      </c>
      <c r="P124" s="24">
        <f>SUM('Label Serving Size'!P124)</f>
        <v>0</v>
      </c>
      <c r="Q124" s="25">
        <f>SUM('Label Serving Size'!Q124)</f>
        <v>0</v>
      </c>
    </row>
    <row r="125" spans="1:17" x14ac:dyDescent="0.25">
      <c r="A125" s="8" t="s">
        <v>88</v>
      </c>
      <c r="B125" s="24">
        <f>SUM('Label Serving Size'!B125)</f>
        <v>30</v>
      </c>
      <c r="C125" s="25">
        <f>SUM('Label Serving Size'!C125)</f>
        <v>60</v>
      </c>
      <c r="D125" s="24">
        <f>SUM('Label Serving Size'!D125)</f>
        <v>50</v>
      </c>
      <c r="E125" s="25">
        <f>SUM('Label Serving Size'!E125)</f>
        <v>5</v>
      </c>
      <c r="F125" s="24">
        <f>SUM('Label Serving Size'!F125)</f>
        <v>3.5</v>
      </c>
      <c r="G125" s="25">
        <f>SUM('Label Serving Size'!G125)</f>
        <v>0</v>
      </c>
      <c r="H125" s="24">
        <f>SUM('Label Serving Size'!H125)</f>
        <v>15</v>
      </c>
      <c r="I125" s="25">
        <f>SUM('Label Serving Size'!I125)</f>
        <v>45</v>
      </c>
      <c r="J125" s="24">
        <f>SUM('Label Serving Size'!J125)</f>
        <v>2</v>
      </c>
      <c r="K125" s="25">
        <f>SUM('Label Serving Size'!K125)</f>
        <v>0</v>
      </c>
      <c r="L125" s="24">
        <f>SUM('Label Serving Size'!L125)</f>
        <v>1</v>
      </c>
      <c r="M125" s="25">
        <f>SUM('Label Serving Size'!M125)</f>
        <v>1</v>
      </c>
      <c r="N125" s="24">
        <f>SUM('Label Serving Size'!N125)</f>
        <v>4</v>
      </c>
      <c r="O125" s="25">
        <f>SUM('Label Serving Size'!O125)</f>
        <v>0</v>
      </c>
      <c r="P125" s="24">
        <f>SUM('Label Serving Size'!P125)</f>
        <v>4</v>
      </c>
      <c r="Q125" s="25">
        <f>SUM('Label Serving Size'!Q125)</f>
        <v>0</v>
      </c>
    </row>
    <row r="126" spans="1:17" x14ac:dyDescent="0.25">
      <c r="A126" s="10" t="s">
        <v>145</v>
      </c>
      <c r="B126" s="24">
        <f>SUM('Label Serving Size'!B126)</f>
        <v>14</v>
      </c>
      <c r="C126" s="25">
        <f>SUM('Label Serving Size'!C126)</f>
        <v>100</v>
      </c>
      <c r="D126" s="24">
        <f>SUM('Label Serving Size'!D126)</f>
        <v>100</v>
      </c>
      <c r="E126" s="25">
        <f>SUM('Label Serving Size'!E126)</f>
        <v>12</v>
      </c>
      <c r="F126" s="24">
        <f>SUM('Label Serving Size'!F126)</f>
        <v>2</v>
      </c>
      <c r="G126" s="25">
        <f>SUM('Label Serving Size'!G126)</f>
        <v>0</v>
      </c>
      <c r="H126" s="24">
        <f>SUM('Label Serving Size'!H126)</f>
        <v>10</v>
      </c>
      <c r="I126" s="25">
        <f>SUM('Label Serving Size'!I126)</f>
        <v>90</v>
      </c>
      <c r="J126" s="24">
        <f>SUM('Label Serving Size'!J126)</f>
        <v>0</v>
      </c>
      <c r="K126" s="25">
        <f>SUM('Label Serving Size'!K126)</f>
        <v>0</v>
      </c>
      <c r="L126" s="24">
        <f>SUM('Label Serving Size'!L126)</f>
        <v>0</v>
      </c>
      <c r="M126" s="25">
        <f>SUM('Label Serving Size'!M126)</f>
        <v>0</v>
      </c>
      <c r="N126" s="24">
        <f>SUM('Label Serving Size'!N126)</f>
        <v>0</v>
      </c>
      <c r="O126" s="25">
        <f>SUM('Label Serving Size'!O126)</f>
        <v>0</v>
      </c>
      <c r="P126" s="24">
        <f>SUM('Label Serving Size'!P126)</f>
        <v>0</v>
      </c>
      <c r="Q126" s="25">
        <f>SUM('Label Serving Size'!Q126)</f>
        <v>0</v>
      </c>
    </row>
    <row r="127" spans="1:17" x14ac:dyDescent="0.25">
      <c r="A127" s="10" t="s">
        <v>121</v>
      </c>
      <c r="B127" s="24">
        <f>SUM('Label Serving Size'!B127)</f>
        <v>57</v>
      </c>
      <c r="C127" s="25">
        <f>SUM('Label Serving Size'!C127)</f>
        <v>80</v>
      </c>
      <c r="D127" s="24">
        <f>SUM('Label Serving Size'!D127)</f>
        <v>50</v>
      </c>
      <c r="E127" s="25">
        <f>SUM('Label Serving Size'!E127)</f>
        <v>5</v>
      </c>
      <c r="F127" s="24">
        <f>SUM('Label Serving Size'!F127)</f>
        <v>1</v>
      </c>
      <c r="G127" s="25">
        <f>SUM('Label Serving Size'!G127)</f>
        <v>2</v>
      </c>
      <c r="H127" s="24">
        <f>SUM('Label Serving Size'!H127)</f>
        <v>0</v>
      </c>
      <c r="I127" s="25">
        <f>SUM('Label Serving Size'!I127)</f>
        <v>490</v>
      </c>
      <c r="J127" s="24">
        <f>SUM('Label Serving Size'!J127)</f>
        <v>7</v>
      </c>
      <c r="K127" s="25">
        <f>SUM('Label Serving Size'!K127)</f>
        <v>0</v>
      </c>
      <c r="L127" s="24">
        <f>SUM('Label Serving Size'!L127)</f>
        <v>2</v>
      </c>
      <c r="M127" s="25">
        <f>SUM('Label Serving Size'!M127)</f>
        <v>0</v>
      </c>
      <c r="N127" s="24">
        <f>SUM('Label Serving Size'!N127)</f>
        <v>0</v>
      </c>
      <c r="O127" s="25">
        <f>SUM('Label Serving Size'!O127)</f>
        <v>0</v>
      </c>
      <c r="P127" s="24">
        <f>SUM('Label Serving Size'!P127)</f>
        <v>6</v>
      </c>
      <c r="Q127" s="25">
        <f>SUM('Label Serving Size'!Q127)</f>
        <v>0</v>
      </c>
    </row>
    <row r="128" spans="1:17" x14ac:dyDescent="0.25">
      <c r="A128" s="10" t="s">
        <v>104</v>
      </c>
      <c r="B128" s="24">
        <f>SUM('Label Serving Size'!B128)</f>
        <v>60</v>
      </c>
      <c r="C128" s="25">
        <f>SUM('Label Serving Size'!C128)</f>
        <v>45</v>
      </c>
      <c r="D128" s="24">
        <f>SUM('Label Serving Size'!D128)</f>
        <v>0</v>
      </c>
      <c r="E128" s="25">
        <f>SUM('Label Serving Size'!E128)</f>
        <v>0</v>
      </c>
      <c r="F128" s="24">
        <f>SUM('Label Serving Size'!F128)</f>
        <v>0</v>
      </c>
      <c r="G128" s="25">
        <f>SUM('Label Serving Size'!G128)</f>
        <v>0</v>
      </c>
      <c r="H128" s="24">
        <f>SUM('Label Serving Size'!H128)</f>
        <v>0</v>
      </c>
      <c r="I128" s="25">
        <f>SUM('Label Serving Size'!I128)</f>
        <v>750</v>
      </c>
      <c r="J128" s="24">
        <f>SUM('Label Serving Size'!J128)</f>
        <v>10</v>
      </c>
      <c r="K128" s="25">
        <f>SUM('Label Serving Size'!K128)</f>
        <v>1</v>
      </c>
      <c r="L128" s="24">
        <f>SUM('Label Serving Size'!L128)</f>
        <v>9</v>
      </c>
      <c r="M128" s="25">
        <f>SUM('Label Serving Size'!M128)</f>
        <v>1</v>
      </c>
      <c r="N128" s="24">
        <f>SUM('Label Serving Size'!N128)</f>
        <v>0</v>
      </c>
      <c r="O128" s="25">
        <f>SUM('Label Serving Size'!O128)</f>
        <v>10</v>
      </c>
      <c r="P128" s="24">
        <f>SUM('Label Serving Size'!P128)</f>
        <v>0</v>
      </c>
      <c r="Q128" s="25">
        <f>SUM('Label Serving Size'!Q128)</f>
        <v>2</v>
      </c>
    </row>
    <row r="129" spans="1:18" x14ac:dyDescent="0.25">
      <c r="A129" s="10" t="s">
        <v>102</v>
      </c>
      <c r="B129" s="24">
        <f>SUM('Label Serving Size'!B129)</f>
        <v>30</v>
      </c>
      <c r="C129" s="25">
        <f>SUM('Label Serving Size'!C129)</f>
        <v>110</v>
      </c>
      <c r="D129" s="24">
        <f>SUM('Label Serving Size'!D129)</f>
        <v>40</v>
      </c>
      <c r="E129" s="25">
        <f>SUM('Label Serving Size'!E129)</f>
        <v>4.5</v>
      </c>
      <c r="F129" s="24">
        <f>SUM('Label Serving Size'!F129)</f>
        <v>0.5</v>
      </c>
      <c r="G129" s="25">
        <f>SUM('Label Serving Size'!G129)</f>
        <v>0</v>
      </c>
      <c r="H129" s="24">
        <f>SUM('Label Serving Size'!H129)</f>
        <v>0</v>
      </c>
      <c r="I129" s="25">
        <f>SUM('Label Serving Size'!I129)</f>
        <v>700</v>
      </c>
      <c r="J129" s="24">
        <f>SUM('Label Serving Size'!J129)</f>
        <v>14</v>
      </c>
      <c r="K129" s="25">
        <f>SUM('Label Serving Size'!K129)</f>
        <v>1</v>
      </c>
      <c r="L129" s="24">
        <f>SUM('Label Serving Size'!L129)</f>
        <v>11</v>
      </c>
      <c r="M129" s="25">
        <f>SUM('Label Serving Size'!M129)</f>
        <v>2</v>
      </c>
      <c r="N129" s="24">
        <f>SUM('Label Serving Size'!N129)</f>
        <v>15</v>
      </c>
      <c r="O129" s="25">
        <f>SUM('Label Serving Size'!O129)</f>
        <v>10</v>
      </c>
      <c r="P129" s="24">
        <f>SUM('Label Serving Size'!P129)</f>
        <v>4</v>
      </c>
      <c r="Q129" s="25">
        <f>SUM('Label Serving Size'!Q129)</f>
        <v>4</v>
      </c>
    </row>
    <row r="130" spans="1:18" x14ac:dyDescent="0.25">
      <c r="A130" s="10" t="s">
        <v>91</v>
      </c>
      <c r="B130" s="24">
        <f>SUM('Label Serving Size'!B130)</f>
        <v>30</v>
      </c>
      <c r="C130" s="25">
        <f>SUM('Label Serving Size'!C130)</f>
        <v>150</v>
      </c>
      <c r="D130" s="24">
        <f>SUM('Label Serving Size'!D130)</f>
        <v>140</v>
      </c>
      <c r="E130" s="25">
        <f>SUM('Label Serving Size'!E130)</f>
        <v>16</v>
      </c>
      <c r="F130" s="24">
        <f>SUM('Label Serving Size'!F130)</f>
        <v>2</v>
      </c>
      <c r="G130" s="25">
        <f>SUM('Label Serving Size'!G130)</f>
        <v>0</v>
      </c>
      <c r="H130" s="24">
        <f>SUM('Label Serving Size'!H130)</f>
        <v>10</v>
      </c>
      <c r="I130" s="25">
        <f>SUM('Label Serving Size'!I130)</f>
        <v>270</v>
      </c>
      <c r="J130" s="24">
        <f>SUM('Label Serving Size'!J130)</f>
        <v>1</v>
      </c>
      <c r="K130" s="25">
        <f>SUM('Label Serving Size'!K130)</f>
        <v>0</v>
      </c>
      <c r="L130" s="24">
        <f>SUM('Label Serving Size'!L130)</f>
        <v>1</v>
      </c>
      <c r="M130" s="25">
        <f>SUM('Label Serving Size'!M130)</f>
        <v>1</v>
      </c>
      <c r="N130" s="24">
        <f>SUM('Label Serving Size'!N130)</f>
        <v>2</v>
      </c>
      <c r="O130" s="25">
        <f>SUM('Label Serving Size'!O130)</f>
        <v>0</v>
      </c>
      <c r="P130" s="24">
        <f>SUM('Label Serving Size'!P130)</f>
        <v>0</v>
      </c>
      <c r="Q130" s="25">
        <f>SUM('Label Serving Size'!Q130)</f>
        <v>0</v>
      </c>
    </row>
    <row r="131" spans="1:18" x14ac:dyDescent="0.25">
      <c r="A131" s="10" t="s">
        <v>92</v>
      </c>
      <c r="B131" s="24">
        <f>SUM('Label Serving Size'!B131)</f>
        <v>30</v>
      </c>
      <c r="C131" s="25">
        <f>SUM('Label Serving Size'!C131)</f>
        <v>160</v>
      </c>
      <c r="D131" s="24">
        <f>SUM('Label Serving Size'!D131)</f>
        <v>140</v>
      </c>
      <c r="E131" s="25">
        <f>SUM('Label Serving Size'!E131)</f>
        <v>16</v>
      </c>
      <c r="F131" s="24">
        <f>SUM('Label Serving Size'!F131)</f>
        <v>2.5</v>
      </c>
      <c r="G131" s="25">
        <f>SUM('Label Serving Size'!G131)</f>
        <v>0</v>
      </c>
      <c r="H131" s="24">
        <f>SUM('Label Serving Size'!H131)</f>
        <v>5</v>
      </c>
      <c r="I131" s="25">
        <f>SUM('Label Serving Size'!I131)</f>
        <v>330</v>
      </c>
      <c r="J131" s="24">
        <f>SUM('Label Serving Size'!J131)</f>
        <v>2</v>
      </c>
      <c r="K131" s="25">
        <f>SUM('Label Serving Size'!K131)</f>
        <v>0</v>
      </c>
      <c r="L131" s="24">
        <f>SUM('Label Serving Size'!L131)</f>
        <v>1</v>
      </c>
      <c r="M131" s="25">
        <f>SUM('Label Serving Size'!M131)</f>
        <v>0</v>
      </c>
      <c r="N131" s="24">
        <f>SUM('Label Serving Size'!N131)</f>
        <v>0</v>
      </c>
      <c r="O131" s="25">
        <f>SUM('Label Serving Size'!O131)</f>
        <v>0</v>
      </c>
      <c r="P131" s="24">
        <f>SUM('Label Serving Size'!P131)</f>
        <v>0</v>
      </c>
      <c r="Q131" s="25">
        <f>SUM('Label Serving Size'!Q131)</f>
        <v>0</v>
      </c>
    </row>
    <row r="132" spans="1:18" x14ac:dyDescent="0.25">
      <c r="A132" s="10" t="s">
        <v>93</v>
      </c>
      <c r="B132" s="24">
        <f>SUM('Label Serving Size'!B132)</f>
        <v>42.5</v>
      </c>
      <c r="C132" s="25">
        <f>SUM('Label Serving Size'!C132)</f>
        <v>120</v>
      </c>
      <c r="D132" s="24">
        <f>SUM('Label Serving Size'!D132)</f>
        <v>100</v>
      </c>
      <c r="E132" s="25">
        <f>SUM('Label Serving Size'!E132)</f>
        <v>11</v>
      </c>
      <c r="F132" s="24">
        <f>SUM('Label Serving Size'!F132)</f>
        <v>1.5</v>
      </c>
      <c r="G132" s="25">
        <f>SUM('Label Serving Size'!G132)</f>
        <v>0</v>
      </c>
      <c r="H132" s="24">
        <f>SUM('Label Serving Size'!H132)</f>
        <v>0</v>
      </c>
      <c r="I132" s="25">
        <f>SUM('Label Serving Size'!I132)</f>
        <v>430</v>
      </c>
      <c r="J132" s="24">
        <f>SUM('Label Serving Size'!J132)</f>
        <v>5</v>
      </c>
      <c r="K132" s="25">
        <f>SUM('Label Serving Size'!K132)</f>
        <v>0</v>
      </c>
      <c r="L132" s="24">
        <f>SUM('Label Serving Size'!L132)</f>
        <v>4</v>
      </c>
      <c r="M132" s="25">
        <f>SUM('Label Serving Size'!M132)</f>
        <v>0</v>
      </c>
      <c r="N132" s="24">
        <f>SUM('Label Serving Size'!N132)</f>
        <v>0</v>
      </c>
      <c r="O132" s="25">
        <f>SUM('Label Serving Size'!O132)</f>
        <v>0</v>
      </c>
      <c r="P132" s="24">
        <f>SUM('Label Serving Size'!P132)</f>
        <v>0</v>
      </c>
      <c r="Q132" s="25">
        <f>SUM('Label Serving Size'!Q132)</f>
        <v>0</v>
      </c>
    </row>
    <row r="133" spans="1:18" x14ac:dyDescent="0.25">
      <c r="A133" s="10" t="s">
        <v>94</v>
      </c>
      <c r="B133" s="24">
        <f>SUM('Label Serving Size'!B133)</f>
        <v>43</v>
      </c>
      <c r="C133" s="25">
        <f>SUM('Label Serving Size'!C133)</f>
        <v>210</v>
      </c>
      <c r="D133" s="24">
        <f>SUM('Label Serving Size'!D133)</f>
        <v>200</v>
      </c>
      <c r="E133" s="25">
        <f>SUM('Label Serving Size'!E133)</f>
        <v>23</v>
      </c>
      <c r="F133" s="24">
        <f>SUM('Label Serving Size'!F133)</f>
        <v>3.5</v>
      </c>
      <c r="G133" s="25">
        <f>SUM('Label Serving Size'!G133)</f>
        <v>0</v>
      </c>
      <c r="H133" s="24">
        <f>SUM('Label Serving Size'!H133)</f>
        <v>0</v>
      </c>
      <c r="I133" s="25">
        <f>SUM('Label Serving Size'!I133)</f>
        <v>420</v>
      </c>
      <c r="J133" s="24">
        <f>SUM('Label Serving Size'!J133)</f>
        <v>2</v>
      </c>
      <c r="K133" s="25">
        <f>SUM('Label Serving Size'!K133)</f>
        <v>0</v>
      </c>
      <c r="L133" s="24">
        <f>SUM('Label Serving Size'!L133)</f>
        <v>2</v>
      </c>
      <c r="M133" s="25">
        <f>SUM('Label Serving Size'!M133)</f>
        <v>1</v>
      </c>
      <c r="N133" s="24">
        <f>SUM('Label Serving Size'!N133)</f>
        <v>2</v>
      </c>
      <c r="O133" s="25">
        <f>SUM('Label Serving Size'!O133)</f>
        <v>0</v>
      </c>
      <c r="P133" s="24">
        <f>SUM('Label Serving Size'!P133)</f>
        <v>2</v>
      </c>
      <c r="Q133" s="25">
        <f>SUM('Label Serving Size'!Q133)</f>
        <v>0</v>
      </c>
    </row>
    <row r="134" spans="1:18" x14ac:dyDescent="0.25">
      <c r="A134" s="10" t="s">
        <v>95</v>
      </c>
      <c r="B134" s="24">
        <f>SUM('Label Serving Size'!B134)</f>
        <v>43</v>
      </c>
      <c r="C134" s="25">
        <f>SUM('Label Serving Size'!C134)</f>
        <v>190</v>
      </c>
      <c r="D134" s="24">
        <f>SUM('Label Serving Size'!D134)</f>
        <v>170</v>
      </c>
      <c r="E134" s="25">
        <f>SUM('Label Serving Size'!E134)</f>
        <v>18</v>
      </c>
      <c r="F134" s="24">
        <f>SUM('Label Serving Size'!F134)</f>
        <v>3</v>
      </c>
      <c r="G134" s="25">
        <f>SUM('Label Serving Size'!G134)</f>
        <v>0</v>
      </c>
      <c r="H134" s="24">
        <f>SUM('Label Serving Size'!H134)</f>
        <v>20</v>
      </c>
      <c r="I134" s="25">
        <f>SUM('Label Serving Size'!I134)</f>
        <v>370</v>
      </c>
      <c r="J134" s="24">
        <f>SUM('Label Serving Size'!J134)</f>
        <v>6</v>
      </c>
      <c r="K134" s="25">
        <f>SUM('Label Serving Size'!K134)</f>
        <v>0</v>
      </c>
      <c r="L134" s="24">
        <f>SUM('Label Serving Size'!L134)</f>
        <v>4</v>
      </c>
      <c r="M134" s="25">
        <f>SUM('Label Serving Size'!M134)</f>
        <v>0</v>
      </c>
      <c r="N134" s="24">
        <f>SUM('Label Serving Size'!N134)</f>
        <v>0</v>
      </c>
      <c r="O134" s="25">
        <f>SUM('Label Serving Size'!O134)</f>
        <v>0</v>
      </c>
      <c r="P134" s="24">
        <f>SUM('Label Serving Size'!P134)</f>
        <v>0</v>
      </c>
      <c r="Q134" s="25">
        <f>SUM('Label Serving Size'!Q134)</f>
        <v>0</v>
      </c>
    </row>
    <row r="135" spans="1:18" ht="20.399999999999999" x14ac:dyDescent="0.35">
      <c r="A135" s="36" t="s">
        <v>28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3"/>
    </row>
    <row r="136" spans="1:18" x14ac:dyDescent="0.25">
      <c r="A136" s="8" t="s">
        <v>85</v>
      </c>
      <c r="B136" s="24">
        <f>SUM('Label Serving Size'!B136)</f>
        <v>28</v>
      </c>
      <c r="C136" s="25">
        <f>SUM('Label Serving Size'!C136)</f>
        <v>100</v>
      </c>
      <c r="D136" s="24">
        <f>SUM('Label Serving Size'!D136)</f>
        <v>80</v>
      </c>
      <c r="E136" s="25">
        <f>SUM('Label Serving Size'!E136)</f>
        <v>9</v>
      </c>
      <c r="F136" s="24">
        <f>SUM('Label Serving Size'!F136)</f>
        <v>5</v>
      </c>
      <c r="G136" s="25">
        <f>SUM('Label Serving Size'!G136)</f>
        <v>0</v>
      </c>
      <c r="H136" s="24">
        <f>SUM('Label Serving Size'!H136)</f>
        <v>25</v>
      </c>
      <c r="I136" s="25">
        <f>SUM('Label Serving Size'!I136)</f>
        <v>510</v>
      </c>
      <c r="J136" s="24">
        <f>SUM('Label Serving Size'!J136)</f>
        <v>1</v>
      </c>
      <c r="K136" s="25">
        <f>SUM('Label Serving Size'!K136)</f>
        <v>0</v>
      </c>
      <c r="L136" s="24">
        <f>SUM('Label Serving Size'!L136)</f>
        <v>0</v>
      </c>
      <c r="M136" s="25">
        <f>SUM('Label Serving Size'!M136)</f>
        <v>5</v>
      </c>
      <c r="N136" s="24">
        <f>SUM('Label Serving Size'!N136)</f>
        <v>6</v>
      </c>
      <c r="O136" s="25">
        <f>SUM('Label Serving Size'!O136)</f>
        <v>0</v>
      </c>
      <c r="P136" s="24">
        <f>SUM('Label Serving Size'!P136)</f>
        <v>15</v>
      </c>
      <c r="Q136" s="25">
        <f>SUM('Label Serving Size'!Q136)</f>
        <v>0</v>
      </c>
    </row>
    <row r="137" spans="1:18" x14ac:dyDescent="0.25">
      <c r="A137" s="8" t="s">
        <v>86</v>
      </c>
      <c r="B137" s="24">
        <f>SUM('Label Serving Size'!B138)</f>
        <v>28</v>
      </c>
      <c r="C137" s="25">
        <f>SUM('Label Serving Size'!C138)</f>
        <v>110</v>
      </c>
      <c r="D137" s="24">
        <f>SUM('Label Serving Size'!D138)</f>
        <v>80</v>
      </c>
      <c r="E137" s="25">
        <f>SUM('Label Serving Size'!E138)</f>
        <v>9</v>
      </c>
      <c r="F137" s="24">
        <f>SUM('Label Serving Size'!F138)</f>
        <v>5</v>
      </c>
      <c r="G137" s="25">
        <f>SUM('Label Serving Size'!G138)</f>
        <v>0</v>
      </c>
      <c r="H137" s="24">
        <f>SUM('Label Serving Size'!H138)</f>
        <v>30</v>
      </c>
      <c r="I137" s="25">
        <f>SUM('Label Serving Size'!I138)</f>
        <v>170</v>
      </c>
      <c r="J137" s="24">
        <f>SUM('Label Serving Size'!J138)</f>
        <v>1</v>
      </c>
      <c r="K137" s="25">
        <f>SUM('Label Serving Size'!K138)</f>
        <v>0</v>
      </c>
      <c r="L137" s="24">
        <f>SUM('Label Serving Size'!L138)</f>
        <v>0</v>
      </c>
      <c r="M137" s="25">
        <f>SUM('Label Serving Size'!M138)</f>
        <v>7</v>
      </c>
      <c r="N137" s="24">
        <f>SUM('Label Serving Size'!N138)</f>
        <v>6</v>
      </c>
      <c r="O137" s="25">
        <f>SUM('Label Serving Size'!O138)</f>
        <v>0</v>
      </c>
      <c r="P137" s="24">
        <f>SUM('Label Serving Size'!P138)</f>
        <v>20</v>
      </c>
      <c r="Q137" s="25">
        <f>SUM('Label Serving Size'!Q138)</f>
        <v>0</v>
      </c>
    </row>
    <row r="138" spans="1:18" x14ac:dyDescent="0.25">
      <c r="A138" s="8" t="s">
        <v>99</v>
      </c>
      <c r="B138" s="24">
        <f>SUM('Label Serving Size'!B139)</f>
        <v>5</v>
      </c>
      <c r="C138" s="25">
        <f>SUM('Label Serving Size'!C139)</f>
        <v>20</v>
      </c>
      <c r="D138" s="24">
        <f>SUM('Label Serving Size'!D139)</f>
        <v>15</v>
      </c>
      <c r="E138" s="25">
        <f>SUM('Label Serving Size'!E139)</f>
        <v>1.5</v>
      </c>
      <c r="F138" s="24">
        <f>SUM('Label Serving Size'!F139)</f>
        <v>1</v>
      </c>
      <c r="G138" s="25">
        <f>SUM('Label Serving Size'!G139)</f>
        <v>0</v>
      </c>
      <c r="H138" s="24">
        <f>SUM('Label Serving Size'!H139)</f>
        <v>5</v>
      </c>
      <c r="I138" s="25">
        <f>SUM('Label Serving Size'!I139)</f>
        <v>85</v>
      </c>
      <c r="J138" s="24">
        <f>SUM('Label Serving Size'!J139)</f>
        <v>0</v>
      </c>
      <c r="K138" s="25">
        <f>SUM('Label Serving Size'!K139)</f>
        <v>0</v>
      </c>
      <c r="L138" s="24">
        <f>SUM('Label Serving Size'!L139)</f>
        <v>0</v>
      </c>
      <c r="M138" s="25">
        <f>SUM('Label Serving Size'!M139)</f>
        <v>2</v>
      </c>
      <c r="N138" s="24">
        <f>SUM('Label Serving Size'!N139)</f>
        <v>0</v>
      </c>
      <c r="O138" s="25">
        <f>SUM('Label Serving Size'!O139)</f>
        <v>0</v>
      </c>
      <c r="P138" s="24">
        <f>SUM('Label Serving Size'!P139)</f>
        <v>6</v>
      </c>
      <c r="Q138" s="25">
        <f>SUM('Label Serving Size'!Q139)</f>
        <v>0</v>
      </c>
    </row>
    <row r="139" spans="1:18" ht="20.399999999999999" x14ac:dyDescent="0.35">
      <c r="A139" s="36" t="s">
        <v>30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3"/>
      <c r="R139" s="11"/>
    </row>
    <row r="140" spans="1:18" x14ac:dyDescent="0.25">
      <c r="A140" s="10" t="s">
        <v>96</v>
      </c>
      <c r="B140" s="24">
        <f>SUM('Label Serving Size'!B141)</f>
        <v>89</v>
      </c>
      <c r="C140" s="25">
        <f>SUM('Label Serving Size'!C141)</f>
        <v>10</v>
      </c>
      <c r="D140" s="24">
        <f>SUM('Label Serving Size'!D141)</f>
        <v>0</v>
      </c>
      <c r="E140" s="25">
        <f>SUM('Label Serving Size'!E141)</f>
        <v>0</v>
      </c>
      <c r="F140" s="24">
        <f>SUM('Label Serving Size'!F141)</f>
        <v>0</v>
      </c>
      <c r="G140" s="25">
        <f>SUM('Label Serving Size'!G141)</f>
        <v>0</v>
      </c>
      <c r="H140" s="24">
        <f>SUM('Label Serving Size'!H141)</f>
        <v>0</v>
      </c>
      <c r="I140" s="25">
        <f>SUM('Label Serving Size'!I141)</f>
        <v>10</v>
      </c>
      <c r="J140" s="24">
        <f>SUM('Label Serving Size'!J141)</f>
        <v>2</v>
      </c>
      <c r="K140" s="25">
        <f>SUM('Label Serving Size'!K141)</f>
        <v>1</v>
      </c>
      <c r="L140" s="24">
        <f>SUM('Label Serving Size'!L141)</f>
        <v>2</v>
      </c>
      <c r="M140" s="25">
        <f>SUM('Label Serving Size'!M141)</f>
        <v>1</v>
      </c>
      <c r="N140" s="24">
        <f>SUM('Label Serving Size'!N141)</f>
        <v>6</v>
      </c>
      <c r="O140" s="25">
        <f>SUM('Label Serving Size'!O141)</f>
        <v>6</v>
      </c>
      <c r="P140" s="24">
        <f>SUM('Label Serving Size'!P141)</f>
        <v>2</v>
      </c>
      <c r="Q140" s="25">
        <f>SUM('Label Serving Size'!Q141)</f>
        <v>2</v>
      </c>
    </row>
    <row r="141" spans="1:18" x14ac:dyDescent="0.25">
      <c r="A141" s="10" t="s">
        <v>97</v>
      </c>
      <c r="B141" s="24">
        <f>SUM('Label Serving Size'!B142)</f>
        <v>148</v>
      </c>
      <c r="C141" s="25">
        <f>SUM('Label Serving Size'!C142)</f>
        <v>25</v>
      </c>
      <c r="D141" s="24">
        <f>SUM('Label Serving Size'!D142)</f>
        <v>0</v>
      </c>
      <c r="E141" s="25">
        <f>SUM('Label Serving Size'!E142)</f>
        <v>0</v>
      </c>
      <c r="F141" s="24">
        <f>SUM('Label Serving Size'!F142)</f>
        <v>0</v>
      </c>
      <c r="G141" s="25">
        <f>SUM('Label Serving Size'!G142)</f>
        <v>0</v>
      </c>
      <c r="H141" s="24">
        <f>SUM('Label Serving Size'!H142)</f>
        <v>0</v>
      </c>
      <c r="I141" s="25">
        <f>SUM('Label Serving Size'!I142)</f>
        <v>20</v>
      </c>
      <c r="J141" s="24">
        <f>SUM('Label Serving Size'!J142)</f>
        <v>5</v>
      </c>
      <c r="K141" s="25">
        <f>SUM('Label Serving Size'!K142)</f>
        <v>1</v>
      </c>
      <c r="L141" s="24">
        <f>SUM('Label Serving Size'!L142)</f>
        <v>3</v>
      </c>
      <c r="M141" s="25">
        <f>SUM('Label Serving Size'!M142)</f>
        <v>1</v>
      </c>
      <c r="N141" s="24">
        <f>SUM('Label Serving Size'!N142)</f>
        <v>20</v>
      </c>
      <c r="O141" s="25">
        <f>SUM('Label Serving Size'!O142)</f>
        <v>40</v>
      </c>
      <c r="P141" s="24">
        <f>SUM('Label Serving Size'!P142)</f>
        <v>2</v>
      </c>
      <c r="Q141" s="25">
        <f>SUM('Label Serving Size'!Q142)</f>
        <v>4</v>
      </c>
    </row>
    <row r="142" spans="1:18" x14ac:dyDescent="0.25">
      <c r="A142" s="10" t="s">
        <v>103</v>
      </c>
      <c r="B142" s="24">
        <f>SUM('Label Serving Size'!B143)</f>
        <v>100</v>
      </c>
      <c r="C142" s="25">
        <f>SUM('Label Serving Size'!C143)</f>
        <v>40</v>
      </c>
      <c r="D142" s="24">
        <f>SUM('Label Serving Size'!D143)</f>
        <v>1</v>
      </c>
      <c r="E142" s="25">
        <f>SUM('Label Serving Size'!E143)</f>
        <v>0.1</v>
      </c>
      <c r="F142" s="24">
        <f>SUM('Label Serving Size'!F143)</f>
        <v>0.04</v>
      </c>
      <c r="G142" s="25">
        <f>SUM('Label Serving Size'!G143)</f>
        <v>0</v>
      </c>
      <c r="H142" s="24">
        <f>SUM('Label Serving Size'!H143)</f>
        <v>0</v>
      </c>
      <c r="I142" s="25">
        <f>SUM('Label Serving Size'!I143)</f>
        <v>4</v>
      </c>
      <c r="J142" s="24">
        <f>SUM('Label Serving Size'!J143)</f>
        <v>9.34</v>
      </c>
      <c r="K142" s="25">
        <f>SUM('Label Serving Size'!K143)</f>
        <v>1.7</v>
      </c>
      <c r="L142" s="24">
        <f>SUM('Label Serving Size'!L143)</f>
        <v>4.24</v>
      </c>
      <c r="M142" s="25">
        <f>SUM('Label Serving Size'!M143)</f>
        <v>1.1000000000000001</v>
      </c>
      <c r="N142" s="24">
        <f>SUM('Label Serving Size'!N143)</f>
        <v>0.04</v>
      </c>
      <c r="O142" s="25">
        <f>SUM('Label Serving Size'!O143)</f>
        <v>12.33</v>
      </c>
      <c r="P142" s="24">
        <f>SUM('Label Serving Size'!P143)</f>
        <v>2.2999999999999998</v>
      </c>
      <c r="Q142" s="25">
        <f>SUM('Label Serving Size'!Q143)</f>
        <v>1.17</v>
      </c>
    </row>
    <row r="143" spans="1:18" x14ac:dyDescent="0.25">
      <c r="A143" s="10" t="s">
        <v>168</v>
      </c>
      <c r="B143" s="24">
        <f>SUM('Label Serving Size'!B144/3.1)</f>
        <v>29.032258064516128</v>
      </c>
      <c r="C143" s="25">
        <f>SUM('Label Serving Size'!C144/3.1)</f>
        <v>25.806451612903224</v>
      </c>
      <c r="D143" s="24">
        <f>SUM('Label Serving Size'!D144/3.1)</f>
        <v>3.225806451612903</v>
      </c>
      <c r="E143" s="25">
        <f>SUM('Label Serving Size'!E144/3.1)</f>
        <v>0.32258064516129031</v>
      </c>
      <c r="F143" s="24">
        <f>SUM('Label Serving Size'!F144/3.1)</f>
        <v>0</v>
      </c>
      <c r="G143" s="25">
        <f>SUM('Label Serving Size'!G144/3.1)</f>
        <v>0</v>
      </c>
      <c r="H143" s="24">
        <f>SUM('Label Serving Size'!H144/3.1)</f>
        <v>0</v>
      </c>
      <c r="I143" s="25">
        <f>SUM('Label Serving Size'!I144/3.1)</f>
        <v>3.225806451612903</v>
      </c>
      <c r="J143" s="24">
        <f>SUM('Label Serving Size'!J144/3.1)</f>
        <v>6.129032258064516</v>
      </c>
      <c r="K143" s="25">
        <f>SUM('Label Serving Size'!K144/3.1)</f>
        <v>0.32258064516129031</v>
      </c>
      <c r="L143" s="24">
        <f>SUM('Label Serving Size'!L144/3.1)</f>
        <v>1.6129032258064515</v>
      </c>
      <c r="M143" s="25">
        <f>SUM('Label Serving Size'!M144/3.1)</f>
        <v>0.96774193548387089</v>
      </c>
      <c r="N143" s="24">
        <f>SUM('Label Serving Size'!N144/3.1)</f>
        <v>0</v>
      </c>
      <c r="O143" s="25">
        <f>SUM('Label Serving Size'!O144/3.1)</f>
        <v>1.2903225806451613</v>
      </c>
      <c r="P143" s="24">
        <f>SUM('Label Serving Size'!P144/3.1)</f>
        <v>0</v>
      </c>
      <c r="Q143" s="25">
        <f>SUM('Label Serving Size'!Q144/3.1)</f>
        <v>0</v>
      </c>
    </row>
    <row r="144" spans="1:18" x14ac:dyDescent="0.25">
      <c r="A144" s="10" t="s">
        <v>167</v>
      </c>
      <c r="B144" s="24">
        <f>SUM('Label Serving Size'!B145/4.5)</f>
        <v>28.888888888888889</v>
      </c>
      <c r="C144" s="25">
        <f>SUM('Label Serving Size'!C145/4.5)</f>
        <v>26.666666666666668</v>
      </c>
      <c r="D144" s="24">
        <f>SUM('Label Serving Size'!D145/4.5)</f>
        <v>0</v>
      </c>
      <c r="E144" s="25">
        <f>SUM('Label Serving Size'!E145/4.5)</f>
        <v>0</v>
      </c>
      <c r="F144" s="24">
        <f>SUM('Label Serving Size'!F145/4.5)</f>
        <v>0</v>
      </c>
      <c r="G144" s="25">
        <f>SUM('Label Serving Size'!G145/4.5)</f>
        <v>0</v>
      </c>
      <c r="H144" s="24">
        <f>SUM('Label Serving Size'!H145/4.5)</f>
        <v>0</v>
      </c>
      <c r="I144" s="25">
        <f>SUM('Label Serving Size'!I145/4.5)</f>
        <v>95.555555555555557</v>
      </c>
      <c r="J144" s="24">
        <f>SUM('Label Serving Size'!J145/4.5)</f>
        <v>4.666666666666667</v>
      </c>
      <c r="K144" s="25">
        <f>SUM('Label Serving Size'!K145/4.5)</f>
        <v>1.3333333333333333</v>
      </c>
      <c r="L144" s="24">
        <f>SUM('Label Serving Size'!L145/4.5)</f>
        <v>0</v>
      </c>
      <c r="M144" s="25">
        <f>SUM('Label Serving Size'!M145/4.5)</f>
        <v>1.7777777777777777</v>
      </c>
      <c r="N144" s="24">
        <f>SUM('Label Serving Size'!N145/4.5)</f>
        <v>0</v>
      </c>
      <c r="O144" s="25">
        <f>SUM('Label Serving Size'!O145/4.5)</f>
        <v>0</v>
      </c>
      <c r="P144" s="24">
        <f>SUM('Label Serving Size'!P145/4.5)</f>
        <v>0.88888888888888884</v>
      </c>
      <c r="Q144" s="25">
        <f>SUM('Label Serving Size'!Q145/4.5)</f>
        <v>6.666666666666667</v>
      </c>
    </row>
    <row r="145" spans="1:17" x14ac:dyDescent="0.25">
      <c r="A145" s="10" t="s">
        <v>98</v>
      </c>
      <c r="B145" s="24">
        <f>SUM('Label Serving Size'!B146)</f>
        <v>99</v>
      </c>
      <c r="C145" s="25">
        <f>SUM('Label Serving Size'!C146)</f>
        <v>10</v>
      </c>
      <c r="D145" s="24">
        <f>SUM('Label Serving Size'!D146)</f>
        <v>0</v>
      </c>
      <c r="E145" s="25">
        <f>SUM('Label Serving Size'!E146)</f>
        <v>0</v>
      </c>
      <c r="F145" s="24">
        <f>SUM('Label Serving Size'!F146)</f>
        <v>0</v>
      </c>
      <c r="G145" s="25">
        <f>SUM('Label Serving Size'!G146)</f>
        <v>0</v>
      </c>
      <c r="H145" s="24">
        <f>SUM('Label Serving Size'!H146)</f>
        <v>0</v>
      </c>
      <c r="I145" s="25">
        <f>SUM('Label Serving Size'!I146)</f>
        <v>0</v>
      </c>
      <c r="J145" s="24">
        <f>SUM('Label Serving Size'!J146)</f>
        <v>2</v>
      </c>
      <c r="K145" s="25">
        <f>SUM('Label Serving Size'!K146)</f>
        <v>1</v>
      </c>
      <c r="L145" s="24">
        <f>SUM('Label Serving Size'!L146)</f>
        <v>1</v>
      </c>
      <c r="M145" s="25">
        <f>SUM('Label Serving Size'!M146)</f>
        <v>1</v>
      </c>
      <c r="N145" s="24">
        <f>SUM('Label Serving Size'!N146)</f>
        <v>4</v>
      </c>
      <c r="O145" s="25">
        <f>SUM('Label Serving Size'!O146)</f>
        <v>10</v>
      </c>
      <c r="P145" s="24">
        <f>SUM('Label Serving Size'!P146)</f>
        <v>2</v>
      </c>
      <c r="Q145" s="25">
        <f>SUM('Label Serving Size'!Q146)</f>
        <v>2</v>
      </c>
    </row>
    <row r="146" spans="1:17" x14ac:dyDescent="0.25">
      <c r="A146" s="10" t="s">
        <v>90</v>
      </c>
      <c r="B146" s="24">
        <f>SUM('Label Serving Size'!B147)</f>
        <v>28</v>
      </c>
      <c r="C146" s="25">
        <f>SUM('Label Serving Size'!C147)</f>
        <v>0</v>
      </c>
      <c r="D146" s="24">
        <f>SUM('Label Serving Size'!D147)</f>
        <v>0</v>
      </c>
      <c r="E146" s="25">
        <f>SUM('Label Serving Size'!E147)</f>
        <v>0</v>
      </c>
      <c r="F146" s="24">
        <f>SUM('Label Serving Size'!F147)</f>
        <v>0</v>
      </c>
      <c r="G146" s="25">
        <f>SUM('Label Serving Size'!G147)</f>
        <v>0</v>
      </c>
      <c r="H146" s="24">
        <f>SUM('Label Serving Size'!H147)</f>
        <v>0</v>
      </c>
      <c r="I146" s="25">
        <f>SUM('Label Serving Size'!I147)</f>
        <v>320</v>
      </c>
      <c r="J146" s="24">
        <f>SUM('Label Serving Size'!J147)</f>
        <v>1</v>
      </c>
      <c r="K146" s="25">
        <f>SUM('Label Serving Size'!K147)</f>
        <v>0</v>
      </c>
      <c r="L146" s="24">
        <f>SUM('Label Serving Size'!L147)</f>
        <v>0</v>
      </c>
      <c r="M146" s="25">
        <f>SUM('Label Serving Size'!M147)</f>
        <v>0</v>
      </c>
      <c r="N146" s="24">
        <f>SUM('Label Serving Size'!N147)</f>
        <v>0</v>
      </c>
      <c r="O146" s="25">
        <f>SUM('Label Serving Size'!O147)</f>
        <v>0</v>
      </c>
      <c r="P146" s="24">
        <f>SUM('Label Serving Size'!P147)</f>
        <v>0</v>
      </c>
      <c r="Q146" s="25">
        <f>SUM('Label Serving Size'!Q147)</f>
        <v>0</v>
      </c>
    </row>
    <row r="147" spans="1:17" x14ac:dyDescent="0.25">
      <c r="A147" s="10" t="s">
        <v>89</v>
      </c>
      <c r="B147" s="24">
        <f>SUM('Label Serving Size'!B148)</f>
        <v>30</v>
      </c>
      <c r="C147" s="25">
        <f>SUM('Label Serving Size'!C148)</f>
        <v>5</v>
      </c>
      <c r="D147" s="24">
        <f>SUM('Label Serving Size'!D148)</f>
        <v>0</v>
      </c>
      <c r="E147" s="25">
        <f>SUM('Label Serving Size'!E148)</f>
        <v>0</v>
      </c>
      <c r="F147" s="24">
        <f>SUM('Label Serving Size'!F148)</f>
        <v>0</v>
      </c>
      <c r="G147" s="25">
        <f>SUM('Label Serving Size'!G148)</f>
        <v>0</v>
      </c>
      <c r="H147" s="24">
        <f>SUM('Label Serving Size'!H148)</f>
        <v>0</v>
      </c>
      <c r="I147" s="25">
        <f>SUM('Label Serving Size'!I148)</f>
        <v>510</v>
      </c>
      <c r="J147" s="24">
        <f>SUM('Label Serving Size'!J148)</f>
        <v>1</v>
      </c>
      <c r="K147" s="25">
        <f>SUM('Label Serving Size'!K148)</f>
        <v>1</v>
      </c>
      <c r="L147" s="24">
        <f>SUM('Label Serving Size'!L148)</f>
        <v>0</v>
      </c>
      <c r="M147" s="25">
        <f>SUM('Label Serving Size'!M148)</f>
        <v>0</v>
      </c>
      <c r="N147" s="24">
        <f>SUM('Label Serving Size'!N148)</f>
        <v>6</v>
      </c>
      <c r="O147" s="25">
        <f>SUM('Label Serving Size'!O148)</f>
        <v>4</v>
      </c>
      <c r="P147" s="24">
        <f>SUM('Label Serving Size'!P148)</f>
        <v>6</v>
      </c>
      <c r="Q147" s="25">
        <f>SUM('Label Serving Size'!Q148)</f>
        <v>4</v>
      </c>
    </row>
    <row r="148" spans="1:17" x14ac:dyDescent="0.25">
      <c r="A148" s="20" t="s">
        <v>101</v>
      </c>
      <c r="B148" s="24">
        <f>SUM('Label Serving Size'!B149)</f>
        <v>110</v>
      </c>
      <c r="C148" s="25">
        <f>SUM('Label Serving Size'!C149)</f>
        <v>15</v>
      </c>
      <c r="D148" s="24">
        <f>SUM('Label Serving Size'!D149)</f>
        <v>0</v>
      </c>
      <c r="E148" s="25">
        <f>SUM('Label Serving Size'!E149)</f>
        <v>0</v>
      </c>
      <c r="F148" s="24">
        <f>SUM('Label Serving Size'!F149)</f>
        <v>0</v>
      </c>
      <c r="G148" s="25">
        <f>SUM('Label Serving Size'!G149)</f>
        <v>0</v>
      </c>
      <c r="H148" s="24">
        <f>SUM('Label Serving Size'!H149)</f>
        <v>0</v>
      </c>
      <c r="I148" s="25">
        <f>SUM('Label Serving Size'!I149)</f>
        <v>115</v>
      </c>
      <c r="J148" s="24">
        <f>SUM('Label Serving Size'!J149)</f>
        <v>4</v>
      </c>
      <c r="K148" s="25">
        <f>SUM('Label Serving Size'!K149)</f>
        <v>2</v>
      </c>
      <c r="L148" s="24">
        <f>SUM('Label Serving Size'!L149)</f>
        <v>2</v>
      </c>
      <c r="M148" s="25">
        <f>SUM('Label Serving Size'!M149)</f>
        <v>0</v>
      </c>
      <c r="N148" s="24">
        <f>SUM('Label Serving Size'!N149)</f>
        <v>10</v>
      </c>
      <c r="O148" s="25">
        <f>SUM('Label Serving Size'!O149)</f>
        <v>15</v>
      </c>
      <c r="P148" s="24">
        <f>SUM('Label Serving Size'!P149)</f>
        <v>4</v>
      </c>
      <c r="Q148" s="25">
        <f>SUM('Label Serving Size'!Q149)</f>
        <v>2</v>
      </c>
    </row>
    <row r="150" spans="1:17" x14ac:dyDescent="0.25">
      <c r="A150" s="7" t="s">
        <v>32</v>
      </c>
    </row>
    <row r="151" spans="1:17" x14ac:dyDescent="0.25">
      <c r="A151" s="7" t="s">
        <v>147</v>
      </c>
    </row>
    <row r="152" spans="1:17" x14ac:dyDescent="0.25">
      <c r="A152" s="7" t="s">
        <v>31</v>
      </c>
    </row>
    <row r="154" spans="1:17" x14ac:dyDescent="0.25">
      <c r="A154" s="7" t="s">
        <v>33</v>
      </c>
    </row>
    <row r="156" spans="1:17" x14ac:dyDescent="0.25">
      <c r="A156" s="7" t="s">
        <v>142</v>
      </c>
    </row>
    <row r="158" spans="1:17" x14ac:dyDescent="0.25">
      <c r="A158" s="7" t="s">
        <v>133</v>
      </c>
    </row>
    <row r="159" spans="1:17" x14ac:dyDescent="0.25">
      <c r="A159" s="7" t="s">
        <v>34</v>
      </c>
    </row>
    <row r="160" spans="1:17" x14ac:dyDescent="0.25">
      <c r="A160" s="7" t="s">
        <v>35</v>
      </c>
    </row>
  </sheetData>
  <sheetProtection insertColumns="0" insertRows="0" insertHyperlinks="0" deleteColumns="0" deleteRows="0"/>
  <phoneticPr fontId="3" type="noConversion"/>
  <pageMargins left="0.25" right="0.25" top="0.25" bottom="0.25" header="0.5" footer="0.53"/>
  <pageSetup scale="96" orientation="landscape" r:id="rId1"/>
  <headerFooter alignWithMargins="0"/>
  <rowBreaks count="4" manualBreakCount="4">
    <brk id="37" max="16383" man="1"/>
    <brk id="69" max="16383" man="1"/>
    <brk id="103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1"/>
  <sheetViews>
    <sheetView showGridLines="0" showRowColHeaders="0" topLeftCell="A85" workbookViewId="0">
      <selection activeCell="B141" sqref="B141"/>
    </sheetView>
  </sheetViews>
  <sheetFormatPr defaultColWidth="9.33203125" defaultRowHeight="13.2" x14ac:dyDescent="0.25"/>
  <cols>
    <col min="1" max="1" width="39.77734375" style="14" customWidth="1"/>
    <col min="2" max="2" width="6.77734375" style="14" customWidth="1"/>
    <col min="3" max="3" width="6.77734375" style="19" customWidth="1"/>
    <col min="4" max="4" width="6.77734375" style="14" customWidth="1"/>
    <col min="5" max="5" width="6.77734375" style="19" customWidth="1"/>
    <col min="6" max="6" width="6.77734375" style="14" customWidth="1"/>
    <col min="7" max="7" width="6.77734375" style="19" customWidth="1"/>
    <col min="8" max="8" width="6.77734375" style="14" customWidth="1"/>
    <col min="9" max="9" width="6.77734375" style="19" customWidth="1"/>
    <col min="10" max="10" width="6.77734375" style="14" customWidth="1"/>
    <col min="11" max="11" width="6.77734375" style="19" customWidth="1"/>
    <col min="12" max="12" width="6.77734375" style="14" customWidth="1"/>
    <col min="13" max="13" width="6.77734375" style="19" customWidth="1"/>
    <col min="14" max="14" width="6.77734375" style="14" customWidth="1"/>
    <col min="15" max="15" width="6.77734375" style="19" customWidth="1"/>
    <col min="16" max="16" width="6.77734375" style="14" customWidth="1"/>
    <col min="17" max="17" width="6.77734375" style="19" customWidth="1"/>
    <col min="18" max="16384" width="9.33203125" style="14"/>
  </cols>
  <sheetData>
    <row r="1" spans="1:17" ht="30" x14ac:dyDescent="0.5">
      <c r="A1" s="26" t="s">
        <v>132</v>
      </c>
      <c r="B1" s="1" t="s">
        <v>27</v>
      </c>
      <c r="C1" s="1"/>
      <c r="D1" s="12"/>
      <c r="E1" s="12"/>
      <c r="F1" s="12"/>
      <c r="G1" s="12"/>
      <c r="H1" s="12"/>
      <c r="I1" s="12"/>
      <c r="J1" s="12"/>
      <c r="K1" s="1" t="s">
        <v>183</v>
      </c>
      <c r="L1" s="1"/>
      <c r="M1" s="12"/>
      <c r="N1" s="12"/>
      <c r="O1" s="12"/>
      <c r="P1" s="12"/>
      <c r="Q1" s="13"/>
    </row>
    <row r="2" spans="1:17" ht="82.2" x14ac:dyDescent="0.25">
      <c r="A2" s="15" t="s">
        <v>143</v>
      </c>
      <c r="B2" s="2" t="s">
        <v>0</v>
      </c>
      <c r="C2" s="3" t="s">
        <v>1</v>
      </c>
      <c r="D2" s="2" t="s">
        <v>2</v>
      </c>
      <c r="E2" s="3" t="s">
        <v>3</v>
      </c>
      <c r="F2" s="2" t="s">
        <v>4</v>
      </c>
      <c r="G2" s="3" t="s">
        <v>5</v>
      </c>
      <c r="H2" s="2" t="s">
        <v>6</v>
      </c>
      <c r="I2" s="3" t="s">
        <v>7</v>
      </c>
      <c r="J2" s="2" t="s">
        <v>8</v>
      </c>
      <c r="K2" s="3" t="s">
        <v>9</v>
      </c>
      <c r="L2" s="2" t="s">
        <v>10</v>
      </c>
      <c r="M2" s="3" t="s">
        <v>11</v>
      </c>
      <c r="N2" s="2" t="s">
        <v>12</v>
      </c>
      <c r="O2" s="3" t="s">
        <v>13</v>
      </c>
      <c r="P2" s="2" t="s">
        <v>14</v>
      </c>
      <c r="Q2" s="3" t="s">
        <v>15</v>
      </c>
    </row>
    <row r="3" spans="1:17" ht="20.399999999999999" x14ac:dyDescent="0.35">
      <c r="A3" s="9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x14ac:dyDescent="0.25">
      <c r="A4" s="16" t="s">
        <v>39</v>
      </c>
      <c r="B4" s="23">
        <v>75</v>
      </c>
      <c r="C4" s="23">
        <v>210</v>
      </c>
      <c r="D4" s="23">
        <v>170</v>
      </c>
      <c r="E4" s="23">
        <v>19</v>
      </c>
      <c r="F4" s="23">
        <v>8</v>
      </c>
      <c r="G4" s="23">
        <v>0.5</v>
      </c>
      <c r="H4" s="23">
        <v>40</v>
      </c>
      <c r="I4" s="23">
        <v>690</v>
      </c>
      <c r="J4" s="23">
        <v>0</v>
      </c>
      <c r="K4" s="23">
        <v>0</v>
      </c>
      <c r="L4" s="23">
        <v>0</v>
      </c>
      <c r="M4" s="23">
        <v>8</v>
      </c>
      <c r="N4" s="23">
        <v>2</v>
      </c>
      <c r="O4" s="23">
        <v>0</v>
      </c>
      <c r="P4" s="23">
        <v>0</v>
      </c>
      <c r="Q4" s="23">
        <v>8</v>
      </c>
    </row>
    <row r="5" spans="1:17" x14ac:dyDescent="0.25">
      <c r="A5" s="18" t="s">
        <v>40</v>
      </c>
      <c r="B5" s="23">
        <v>85</v>
      </c>
      <c r="C5" s="23">
        <v>220</v>
      </c>
      <c r="D5" s="23">
        <v>80</v>
      </c>
      <c r="E5" s="23">
        <v>9</v>
      </c>
      <c r="F5" s="23">
        <v>5</v>
      </c>
      <c r="G5" s="23">
        <v>0</v>
      </c>
      <c r="H5" s="23">
        <v>30</v>
      </c>
      <c r="I5" s="23">
        <v>900</v>
      </c>
      <c r="J5" s="23">
        <v>22</v>
      </c>
      <c r="K5" s="23">
        <v>0</v>
      </c>
      <c r="L5" s="23">
        <v>2</v>
      </c>
      <c r="M5" s="23">
        <v>14</v>
      </c>
      <c r="N5" s="23">
        <v>6</v>
      </c>
      <c r="O5" s="23">
        <v>0</v>
      </c>
      <c r="P5" s="23">
        <v>30</v>
      </c>
      <c r="Q5" s="23">
        <v>2</v>
      </c>
    </row>
    <row r="6" spans="1:17" x14ac:dyDescent="0.25">
      <c r="A6" s="18" t="s">
        <v>171</v>
      </c>
      <c r="B6" s="23">
        <v>85</v>
      </c>
      <c r="C6" s="23">
        <v>220</v>
      </c>
      <c r="D6" s="23">
        <v>80</v>
      </c>
      <c r="E6" s="23">
        <v>9</v>
      </c>
      <c r="F6" s="23">
        <v>5</v>
      </c>
      <c r="G6" s="23">
        <v>0</v>
      </c>
      <c r="H6" s="23">
        <v>30</v>
      </c>
      <c r="I6" s="23">
        <v>900</v>
      </c>
      <c r="J6" s="23">
        <v>22</v>
      </c>
      <c r="K6" s="23">
        <v>0</v>
      </c>
      <c r="L6" s="23">
        <v>2</v>
      </c>
      <c r="M6" s="23">
        <v>14</v>
      </c>
      <c r="N6" s="23">
        <v>6</v>
      </c>
      <c r="O6" s="23">
        <v>0</v>
      </c>
      <c r="P6" s="23">
        <v>30</v>
      </c>
      <c r="Q6" s="23">
        <v>2</v>
      </c>
    </row>
    <row r="7" spans="1:17" x14ac:dyDescent="0.25">
      <c r="A7" s="38" t="s">
        <v>188</v>
      </c>
      <c r="B7" s="23">
        <v>84</v>
      </c>
      <c r="C7" s="23">
        <v>110</v>
      </c>
      <c r="D7" s="23">
        <v>30</v>
      </c>
      <c r="E7" s="23">
        <v>3.5</v>
      </c>
      <c r="F7" s="23">
        <v>1.5</v>
      </c>
      <c r="G7" s="23">
        <v>0</v>
      </c>
      <c r="H7" s="23">
        <v>10</v>
      </c>
      <c r="I7" s="23">
        <v>580</v>
      </c>
      <c r="J7" s="23">
        <v>15</v>
      </c>
      <c r="K7" s="23">
        <v>1</v>
      </c>
      <c r="L7" s="23">
        <v>1</v>
      </c>
      <c r="M7" s="23">
        <v>4</v>
      </c>
      <c r="N7" s="23">
        <v>6</v>
      </c>
      <c r="O7" s="23">
        <v>4</v>
      </c>
      <c r="P7" s="23">
        <v>8</v>
      </c>
      <c r="Q7" s="23">
        <v>4</v>
      </c>
    </row>
    <row r="8" spans="1:17" x14ac:dyDescent="0.25">
      <c r="A8" s="18" t="s">
        <v>154</v>
      </c>
      <c r="B8" s="23">
        <v>32</v>
      </c>
      <c r="C8" s="23">
        <v>80</v>
      </c>
      <c r="D8" s="23">
        <v>35</v>
      </c>
      <c r="E8" s="23">
        <v>4</v>
      </c>
      <c r="F8" s="23">
        <v>0.5</v>
      </c>
      <c r="G8" s="23">
        <v>0</v>
      </c>
      <c r="H8" s="23">
        <v>0</v>
      </c>
      <c r="I8" s="23">
        <v>190</v>
      </c>
      <c r="J8" s="23">
        <v>9</v>
      </c>
      <c r="K8" s="23">
        <v>0</v>
      </c>
      <c r="L8" s="23">
        <v>1</v>
      </c>
      <c r="M8" s="23">
        <v>1</v>
      </c>
      <c r="N8" s="23">
        <v>0</v>
      </c>
      <c r="O8" s="23">
        <v>0</v>
      </c>
      <c r="P8" s="23">
        <v>0</v>
      </c>
      <c r="Q8" s="23">
        <v>0</v>
      </c>
    </row>
    <row r="9" spans="1:17" x14ac:dyDescent="0.25">
      <c r="A9" s="18" t="s">
        <v>41</v>
      </c>
      <c r="B9" s="23">
        <v>79</v>
      </c>
      <c r="C9" s="23">
        <v>230</v>
      </c>
      <c r="D9" s="23">
        <v>120</v>
      </c>
      <c r="E9" s="23">
        <v>13</v>
      </c>
      <c r="F9" s="23">
        <v>3.5</v>
      </c>
      <c r="G9" s="23">
        <v>0</v>
      </c>
      <c r="H9" s="23">
        <v>25</v>
      </c>
      <c r="I9" s="23">
        <v>540</v>
      </c>
      <c r="J9" s="23">
        <v>24</v>
      </c>
      <c r="K9" s="23">
        <v>0</v>
      </c>
      <c r="L9" s="23">
        <v>6</v>
      </c>
      <c r="M9" s="23">
        <v>5</v>
      </c>
      <c r="N9" s="23">
        <v>0</v>
      </c>
      <c r="O9" s="23">
        <v>0</v>
      </c>
      <c r="P9" s="23">
        <v>2</v>
      </c>
      <c r="Q9" s="23">
        <v>4</v>
      </c>
    </row>
    <row r="10" spans="1:17" x14ac:dyDescent="0.25">
      <c r="A10" s="18" t="s">
        <v>178</v>
      </c>
      <c r="B10" s="23">
        <v>33</v>
      </c>
      <c r="C10" s="23">
        <v>90</v>
      </c>
      <c r="D10" s="23">
        <v>10</v>
      </c>
      <c r="E10" s="23">
        <v>1</v>
      </c>
      <c r="F10" s="23">
        <v>0</v>
      </c>
      <c r="G10" s="23">
        <v>0</v>
      </c>
      <c r="H10" s="23">
        <v>0</v>
      </c>
      <c r="I10" s="23">
        <v>45</v>
      </c>
      <c r="J10" s="23">
        <v>19</v>
      </c>
      <c r="K10" s="23">
        <v>1</v>
      </c>
      <c r="L10" s="23">
        <v>0</v>
      </c>
      <c r="M10" s="23">
        <v>2</v>
      </c>
      <c r="N10" s="23">
        <v>0</v>
      </c>
      <c r="O10" s="23">
        <v>0</v>
      </c>
      <c r="P10" s="23">
        <v>2</v>
      </c>
      <c r="Q10" s="23">
        <v>2</v>
      </c>
    </row>
    <row r="11" spans="1:17" x14ac:dyDescent="0.25">
      <c r="A11" s="18" t="s">
        <v>179</v>
      </c>
      <c r="B11" s="23">
        <v>33</v>
      </c>
      <c r="C11" s="23">
        <v>90</v>
      </c>
      <c r="D11" s="23">
        <v>10</v>
      </c>
      <c r="E11" s="23">
        <v>1</v>
      </c>
      <c r="F11" s="23">
        <v>0</v>
      </c>
      <c r="G11" s="23">
        <v>0</v>
      </c>
      <c r="H11" s="23">
        <v>0</v>
      </c>
      <c r="I11" s="23">
        <v>45</v>
      </c>
      <c r="J11" s="23">
        <v>19</v>
      </c>
      <c r="K11" s="23">
        <v>1</v>
      </c>
      <c r="L11" s="23">
        <v>0</v>
      </c>
      <c r="M11" s="23">
        <v>2</v>
      </c>
      <c r="N11" s="23">
        <v>0</v>
      </c>
      <c r="O11" s="23">
        <v>0</v>
      </c>
      <c r="P11" s="23">
        <v>2</v>
      </c>
      <c r="Q11" s="23">
        <v>2</v>
      </c>
    </row>
    <row r="12" spans="1:17" x14ac:dyDescent="0.25">
      <c r="A12" s="18" t="s">
        <v>162</v>
      </c>
      <c r="B12" s="23">
        <v>33</v>
      </c>
      <c r="C12" s="23">
        <v>90</v>
      </c>
      <c r="D12" s="23">
        <v>10</v>
      </c>
      <c r="E12" s="23">
        <v>1</v>
      </c>
      <c r="F12" s="23">
        <v>0</v>
      </c>
      <c r="G12" s="23">
        <v>0</v>
      </c>
      <c r="H12" s="23">
        <v>0</v>
      </c>
      <c r="I12" s="23">
        <v>45</v>
      </c>
      <c r="J12" s="23">
        <v>19</v>
      </c>
      <c r="K12" s="23">
        <v>1</v>
      </c>
      <c r="L12" s="23">
        <v>0</v>
      </c>
      <c r="M12" s="23">
        <v>2</v>
      </c>
      <c r="N12" s="23">
        <v>0</v>
      </c>
      <c r="O12" s="23">
        <v>0</v>
      </c>
      <c r="P12" s="23">
        <v>2</v>
      </c>
      <c r="Q12" s="23">
        <v>2</v>
      </c>
    </row>
    <row r="13" spans="1:17" x14ac:dyDescent="0.25">
      <c r="A13" s="18" t="s">
        <v>163</v>
      </c>
      <c r="B13" s="22">
        <f>B20</f>
        <v>180</v>
      </c>
      <c r="C13" s="22">
        <f t="shared" ref="C13:Q13" si="0">C20</f>
        <v>240</v>
      </c>
      <c r="D13" s="22">
        <f t="shared" si="0"/>
        <v>70</v>
      </c>
      <c r="E13" s="22">
        <f t="shared" si="0"/>
        <v>8</v>
      </c>
      <c r="F13" s="22">
        <f t="shared" si="0"/>
        <v>2</v>
      </c>
      <c r="G13" s="22">
        <f t="shared" si="0"/>
        <v>0</v>
      </c>
      <c r="H13" s="22">
        <f t="shared" si="0"/>
        <v>0</v>
      </c>
      <c r="I13" s="22">
        <f t="shared" si="0"/>
        <v>120</v>
      </c>
      <c r="J13" s="22">
        <f t="shared" si="0"/>
        <v>38</v>
      </c>
      <c r="K13" s="22">
        <f t="shared" si="0"/>
        <v>2</v>
      </c>
      <c r="L13" s="22">
        <f t="shared" si="0"/>
        <v>0</v>
      </c>
      <c r="M13" s="22">
        <f t="shared" si="0"/>
        <v>4</v>
      </c>
      <c r="N13" s="22">
        <f t="shared" si="0"/>
        <v>0</v>
      </c>
      <c r="O13" s="22">
        <f t="shared" si="0"/>
        <v>16</v>
      </c>
      <c r="P13" s="22">
        <f t="shared" si="0"/>
        <v>0</v>
      </c>
      <c r="Q13" s="22">
        <f t="shared" si="0"/>
        <v>8</v>
      </c>
    </row>
    <row r="14" spans="1:17" ht="20.399999999999999" x14ac:dyDescent="0.35">
      <c r="A14" s="9" t="s">
        <v>24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</row>
    <row r="15" spans="1:17" x14ac:dyDescent="0.25">
      <c r="A15" s="16" t="s">
        <v>43</v>
      </c>
      <c r="B15" s="23">
        <v>120</v>
      </c>
      <c r="C15" s="23">
        <v>120</v>
      </c>
      <c r="D15" s="23">
        <v>60</v>
      </c>
      <c r="E15" s="23">
        <v>7</v>
      </c>
      <c r="F15" s="23">
        <v>1</v>
      </c>
      <c r="G15" s="23">
        <v>0</v>
      </c>
      <c r="H15" s="23">
        <v>5</v>
      </c>
      <c r="I15" s="23">
        <v>150</v>
      </c>
      <c r="J15" s="23">
        <v>15</v>
      </c>
      <c r="K15" s="23">
        <v>2</v>
      </c>
      <c r="L15" s="23">
        <v>15</v>
      </c>
      <c r="M15" s="23">
        <v>1</v>
      </c>
      <c r="N15" s="23">
        <v>6</v>
      </c>
      <c r="O15" s="23">
        <v>4</v>
      </c>
      <c r="P15" s="23">
        <v>4</v>
      </c>
      <c r="Q15" s="23">
        <v>2</v>
      </c>
    </row>
    <row r="16" spans="1:17" x14ac:dyDescent="0.25">
      <c r="A16" s="18" t="s">
        <v>44</v>
      </c>
      <c r="B16" s="23">
        <v>89</v>
      </c>
      <c r="C16" s="23">
        <v>10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10</v>
      </c>
      <c r="J16" s="23">
        <v>2</v>
      </c>
      <c r="K16" s="23">
        <v>1</v>
      </c>
      <c r="L16" s="23">
        <v>2</v>
      </c>
      <c r="M16" s="23">
        <v>1</v>
      </c>
      <c r="N16" s="23">
        <v>6</v>
      </c>
      <c r="O16" s="23">
        <v>6</v>
      </c>
      <c r="P16" s="23">
        <v>2</v>
      </c>
      <c r="Q16" s="23">
        <v>2</v>
      </c>
    </row>
    <row r="17" spans="1:17" x14ac:dyDescent="0.25">
      <c r="A17" s="18" t="s">
        <v>46</v>
      </c>
      <c r="B17" s="23">
        <v>78</v>
      </c>
      <c r="C17" s="23">
        <v>160</v>
      </c>
      <c r="D17" s="23">
        <v>160</v>
      </c>
      <c r="E17" s="23">
        <v>7</v>
      </c>
      <c r="F17" s="23">
        <v>1</v>
      </c>
      <c r="G17" s="23">
        <v>0</v>
      </c>
      <c r="H17" s="23">
        <v>0</v>
      </c>
      <c r="I17" s="23">
        <v>250</v>
      </c>
      <c r="J17" s="23">
        <v>21</v>
      </c>
      <c r="K17" s="23">
        <v>1</v>
      </c>
      <c r="L17" s="23">
        <v>3</v>
      </c>
      <c r="M17" s="23">
        <v>3</v>
      </c>
      <c r="N17" s="23">
        <v>0</v>
      </c>
      <c r="O17" s="23">
        <v>4</v>
      </c>
      <c r="P17" s="23">
        <v>2</v>
      </c>
      <c r="Q17" s="23">
        <v>2</v>
      </c>
    </row>
    <row r="18" spans="1:17" x14ac:dyDescent="0.25">
      <c r="A18" s="18" t="s">
        <v>45</v>
      </c>
      <c r="B18" s="23">
        <v>240</v>
      </c>
      <c r="C18" s="23">
        <v>270</v>
      </c>
      <c r="D18" s="23">
        <v>50</v>
      </c>
      <c r="E18" s="23">
        <v>6</v>
      </c>
      <c r="F18" s="23">
        <v>2.5</v>
      </c>
      <c r="G18" s="23">
        <v>0</v>
      </c>
      <c r="H18" s="23">
        <v>25</v>
      </c>
      <c r="I18" s="23">
        <v>750</v>
      </c>
      <c r="J18" s="23">
        <v>35</v>
      </c>
      <c r="K18" s="23">
        <v>9</v>
      </c>
      <c r="L18" s="23">
        <v>5</v>
      </c>
      <c r="M18" s="23">
        <v>19</v>
      </c>
      <c r="N18" s="23">
        <v>10</v>
      </c>
      <c r="O18" s="23">
        <v>15</v>
      </c>
      <c r="P18" s="23">
        <v>8</v>
      </c>
      <c r="Q18" s="23">
        <v>20</v>
      </c>
    </row>
    <row r="19" spans="1:17" x14ac:dyDescent="0.25">
      <c r="A19" s="18" t="s">
        <v>47</v>
      </c>
      <c r="B19" s="23">
        <v>90</v>
      </c>
      <c r="C19" s="23">
        <v>120</v>
      </c>
      <c r="D19" s="23">
        <v>35</v>
      </c>
      <c r="E19" s="23">
        <v>4</v>
      </c>
      <c r="F19" s="23">
        <v>1</v>
      </c>
      <c r="G19" s="23">
        <v>0</v>
      </c>
      <c r="H19" s="23">
        <v>0</v>
      </c>
      <c r="I19" s="23">
        <v>60</v>
      </c>
      <c r="J19" s="23">
        <v>19</v>
      </c>
      <c r="K19" s="23">
        <v>1</v>
      </c>
      <c r="L19" s="23">
        <v>0</v>
      </c>
      <c r="M19" s="23">
        <v>2</v>
      </c>
      <c r="N19" s="23">
        <v>0</v>
      </c>
      <c r="O19" s="23">
        <v>8</v>
      </c>
      <c r="P19" s="23">
        <v>0</v>
      </c>
      <c r="Q19" s="23">
        <v>4</v>
      </c>
    </row>
    <row r="20" spans="1:17" x14ac:dyDescent="0.25">
      <c r="A20" s="18" t="s">
        <v>48</v>
      </c>
      <c r="B20" s="22">
        <f>B19*2</f>
        <v>180</v>
      </c>
      <c r="C20" s="22">
        <f t="shared" ref="C20:Q20" si="1">C19*2</f>
        <v>240</v>
      </c>
      <c r="D20" s="22">
        <f t="shared" si="1"/>
        <v>70</v>
      </c>
      <c r="E20" s="22">
        <f t="shared" si="1"/>
        <v>8</v>
      </c>
      <c r="F20" s="22">
        <f t="shared" si="1"/>
        <v>2</v>
      </c>
      <c r="G20" s="22">
        <f t="shared" si="1"/>
        <v>0</v>
      </c>
      <c r="H20" s="22">
        <f t="shared" si="1"/>
        <v>0</v>
      </c>
      <c r="I20" s="22">
        <f t="shared" si="1"/>
        <v>120</v>
      </c>
      <c r="J20" s="22">
        <f t="shared" si="1"/>
        <v>38</v>
      </c>
      <c r="K20" s="22">
        <f t="shared" si="1"/>
        <v>2</v>
      </c>
      <c r="L20" s="22">
        <f t="shared" si="1"/>
        <v>0</v>
      </c>
      <c r="M20" s="22">
        <f t="shared" si="1"/>
        <v>4</v>
      </c>
      <c r="N20" s="22">
        <f t="shared" si="1"/>
        <v>0</v>
      </c>
      <c r="O20" s="22">
        <f t="shared" si="1"/>
        <v>16</v>
      </c>
      <c r="P20" s="22">
        <f t="shared" si="1"/>
        <v>0</v>
      </c>
      <c r="Q20" s="22">
        <f t="shared" si="1"/>
        <v>8</v>
      </c>
    </row>
    <row r="21" spans="1:17" x14ac:dyDescent="0.25">
      <c r="A21" s="18" t="s">
        <v>49</v>
      </c>
      <c r="B21" s="23">
        <v>90</v>
      </c>
      <c r="C21" s="23">
        <v>120</v>
      </c>
      <c r="D21" s="23">
        <v>35</v>
      </c>
      <c r="E21" s="23">
        <v>4</v>
      </c>
      <c r="F21" s="23">
        <v>1</v>
      </c>
      <c r="G21" s="23">
        <v>0</v>
      </c>
      <c r="H21" s="23">
        <v>0</v>
      </c>
      <c r="I21" s="23">
        <v>60</v>
      </c>
      <c r="J21" s="23">
        <v>19</v>
      </c>
      <c r="K21" s="23">
        <v>1</v>
      </c>
      <c r="L21" s="23">
        <v>0</v>
      </c>
      <c r="M21" s="23">
        <v>2</v>
      </c>
      <c r="N21" s="23">
        <v>0</v>
      </c>
      <c r="O21" s="23">
        <v>8</v>
      </c>
      <c r="P21" s="23">
        <v>0</v>
      </c>
      <c r="Q21" s="23">
        <v>4</v>
      </c>
    </row>
    <row r="22" spans="1:17" x14ac:dyDescent="0.25">
      <c r="A22" s="18" t="s">
        <v>50</v>
      </c>
      <c r="B22" s="22">
        <f>B21*2</f>
        <v>180</v>
      </c>
      <c r="C22" s="22">
        <f t="shared" ref="C22:Q22" si="2">C21*2</f>
        <v>240</v>
      </c>
      <c r="D22" s="22">
        <f t="shared" si="2"/>
        <v>70</v>
      </c>
      <c r="E22" s="22">
        <f t="shared" si="2"/>
        <v>8</v>
      </c>
      <c r="F22" s="22">
        <f t="shared" si="2"/>
        <v>2</v>
      </c>
      <c r="G22" s="22">
        <f t="shared" si="2"/>
        <v>0</v>
      </c>
      <c r="H22" s="22">
        <f t="shared" si="2"/>
        <v>0</v>
      </c>
      <c r="I22" s="22">
        <f t="shared" si="2"/>
        <v>120</v>
      </c>
      <c r="J22" s="22">
        <f t="shared" si="2"/>
        <v>38</v>
      </c>
      <c r="K22" s="22">
        <f t="shared" si="2"/>
        <v>2</v>
      </c>
      <c r="L22" s="22">
        <f t="shared" si="2"/>
        <v>0</v>
      </c>
      <c r="M22" s="22">
        <f t="shared" si="2"/>
        <v>4</v>
      </c>
      <c r="N22" s="22">
        <f t="shared" si="2"/>
        <v>0</v>
      </c>
      <c r="O22" s="22">
        <f t="shared" si="2"/>
        <v>16</v>
      </c>
      <c r="P22" s="22">
        <f t="shared" si="2"/>
        <v>0</v>
      </c>
      <c r="Q22" s="22">
        <f t="shared" si="2"/>
        <v>8</v>
      </c>
    </row>
    <row r="23" spans="1:17" x14ac:dyDescent="0.25">
      <c r="A23" s="18" t="s">
        <v>184</v>
      </c>
      <c r="B23" s="23">
        <v>85</v>
      </c>
      <c r="C23" s="23">
        <v>160</v>
      </c>
      <c r="D23" s="23">
        <v>70</v>
      </c>
      <c r="E23" s="23">
        <v>8</v>
      </c>
      <c r="F23" s="23">
        <v>1</v>
      </c>
      <c r="G23" s="23">
        <v>0</v>
      </c>
      <c r="H23" s="23">
        <v>0</v>
      </c>
      <c r="I23" s="23">
        <v>360</v>
      </c>
      <c r="J23" s="23">
        <v>20</v>
      </c>
      <c r="K23" s="23">
        <v>4</v>
      </c>
      <c r="L23" s="23">
        <v>0</v>
      </c>
      <c r="M23" s="23">
        <v>3</v>
      </c>
      <c r="N23" s="23">
        <v>0</v>
      </c>
      <c r="O23" s="23">
        <v>6</v>
      </c>
      <c r="P23" s="23">
        <v>0</v>
      </c>
      <c r="Q23" s="23">
        <v>2</v>
      </c>
    </row>
    <row r="24" spans="1:17" x14ac:dyDescent="0.25">
      <c r="A24" s="18" t="s">
        <v>185</v>
      </c>
      <c r="B24" s="22">
        <f>B23*2</f>
        <v>170</v>
      </c>
      <c r="C24" s="22">
        <f t="shared" ref="C24:Q24" si="3">C23*2</f>
        <v>320</v>
      </c>
      <c r="D24" s="22">
        <f t="shared" si="3"/>
        <v>140</v>
      </c>
      <c r="E24" s="22">
        <f t="shared" si="3"/>
        <v>16</v>
      </c>
      <c r="F24" s="22">
        <f t="shared" si="3"/>
        <v>2</v>
      </c>
      <c r="G24" s="22">
        <f t="shared" si="3"/>
        <v>0</v>
      </c>
      <c r="H24" s="22">
        <f t="shared" si="3"/>
        <v>0</v>
      </c>
      <c r="I24" s="22">
        <f t="shared" si="3"/>
        <v>720</v>
      </c>
      <c r="J24" s="22">
        <f t="shared" si="3"/>
        <v>40</v>
      </c>
      <c r="K24" s="22">
        <f t="shared" si="3"/>
        <v>8</v>
      </c>
      <c r="L24" s="22">
        <f t="shared" si="3"/>
        <v>0</v>
      </c>
      <c r="M24" s="22">
        <f t="shared" si="3"/>
        <v>6</v>
      </c>
      <c r="N24" s="22">
        <f t="shared" si="3"/>
        <v>0</v>
      </c>
      <c r="O24" s="22">
        <f t="shared" si="3"/>
        <v>12</v>
      </c>
      <c r="P24" s="22">
        <f t="shared" si="3"/>
        <v>0</v>
      </c>
      <c r="Q24" s="22">
        <f t="shared" si="3"/>
        <v>4</v>
      </c>
    </row>
    <row r="25" spans="1:17" x14ac:dyDescent="0.25">
      <c r="A25" s="18" t="s">
        <v>186</v>
      </c>
      <c r="B25" s="23">
        <v>85</v>
      </c>
      <c r="C25" s="23">
        <v>150</v>
      </c>
      <c r="D25" s="23">
        <v>60</v>
      </c>
      <c r="E25" s="23">
        <v>7</v>
      </c>
      <c r="F25" s="23">
        <v>1.5</v>
      </c>
      <c r="G25" s="23">
        <v>0</v>
      </c>
      <c r="H25" s="23">
        <v>0</v>
      </c>
      <c r="I25" s="23">
        <v>160</v>
      </c>
      <c r="J25" s="23">
        <v>24</v>
      </c>
      <c r="K25" s="23">
        <v>4</v>
      </c>
      <c r="L25" s="23">
        <v>7</v>
      </c>
      <c r="M25" s="23">
        <v>1</v>
      </c>
      <c r="N25" s="23">
        <v>50</v>
      </c>
      <c r="O25" s="23">
        <v>4</v>
      </c>
      <c r="P25" s="23">
        <v>2</v>
      </c>
      <c r="Q25" s="23">
        <v>6</v>
      </c>
    </row>
    <row r="26" spans="1:17" x14ac:dyDescent="0.25">
      <c r="A26" s="18" t="s">
        <v>187</v>
      </c>
      <c r="B26" s="22">
        <f>B25*2</f>
        <v>170</v>
      </c>
      <c r="C26" s="22">
        <f t="shared" ref="C26:Q26" si="4">C25*2</f>
        <v>300</v>
      </c>
      <c r="D26" s="22">
        <f t="shared" si="4"/>
        <v>120</v>
      </c>
      <c r="E26" s="22">
        <f t="shared" si="4"/>
        <v>14</v>
      </c>
      <c r="F26" s="22">
        <f t="shared" si="4"/>
        <v>3</v>
      </c>
      <c r="G26" s="22">
        <f t="shared" si="4"/>
        <v>0</v>
      </c>
      <c r="H26" s="22">
        <f t="shared" si="4"/>
        <v>0</v>
      </c>
      <c r="I26" s="22">
        <f t="shared" si="4"/>
        <v>320</v>
      </c>
      <c r="J26" s="22">
        <f t="shared" si="4"/>
        <v>48</v>
      </c>
      <c r="K26" s="22">
        <f t="shared" si="4"/>
        <v>8</v>
      </c>
      <c r="L26" s="22">
        <f t="shared" si="4"/>
        <v>14</v>
      </c>
      <c r="M26" s="22">
        <f t="shared" si="4"/>
        <v>2</v>
      </c>
      <c r="N26" s="22">
        <f t="shared" si="4"/>
        <v>100</v>
      </c>
      <c r="O26" s="22">
        <f t="shared" si="4"/>
        <v>8</v>
      </c>
      <c r="P26" s="22">
        <f t="shared" si="4"/>
        <v>4</v>
      </c>
      <c r="Q26" s="22">
        <f t="shared" si="4"/>
        <v>12</v>
      </c>
    </row>
    <row r="27" spans="1:17" x14ac:dyDescent="0.25">
      <c r="A27" s="18" t="s">
        <v>106</v>
      </c>
      <c r="B27" s="23">
        <v>32</v>
      </c>
      <c r="C27" s="23">
        <v>100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490</v>
      </c>
      <c r="J27" s="23">
        <v>23</v>
      </c>
      <c r="K27" s="23">
        <v>2</v>
      </c>
      <c r="L27" s="23">
        <v>4</v>
      </c>
      <c r="M27" s="23">
        <v>3</v>
      </c>
      <c r="N27" s="23">
        <v>0</v>
      </c>
      <c r="O27" s="23">
        <v>0</v>
      </c>
      <c r="P27" s="23">
        <v>10</v>
      </c>
      <c r="Q27" s="23">
        <v>4</v>
      </c>
    </row>
    <row r="28" spans="1:17" x14ac:dyDescent="0.25">
      <c r="A28" s="18" t="s">
        <v>135</v>
      </c>
      <c r="B28" s="23">
        <v>50</v>
      </c>
      <c r="C28" s="23">
        <v>140</v>
      </c>
      <c r="D28" s="23">
        <v>0</v>
      </c>
      <c r="E28" s="23">
        <v>1</v>
      </c>
      <c r="F28" s="23">
        <v>0</v>
      </c>
      <c r="G28" s="23">
        <v>0</v>
      </c>
      <c r="H28" s="23">
        <v>0</v>
      </c>
      <c r="I28" s="23">
        <v>300</v>
      </c>
      <c r="J28" s="23">
        <v>29</v>
      </c>
      <c r="K28" s="23">
        <v>2</v>
      </c>
      <c r="L28" s="23">
        <v>3</v>
      </c>
      <c r="M28" s="23">
        <v>5</v>
      </c>
      <c r="N28" s="23">
        <v>0</v>
      </c>
      <c r="O28" s="23">
        <v>0</v>
      </c>
      <c r="P28" s="23">
        <v>2</v>
      </c>
      <c r="Q28" s="23">
        <v>10</v>
      </c>
    </row>
    <row r="29" spans="1:17" x14ac:dyDescent="0.25">
      <c r="A29" s="18" t="s">
        <v>129</v>
      </c>
      <c r="B29" s="23">
        <v>79</v>
      </c>
      <c r="C29" s="23">
        <v>200</v>
      </c>
      <c r="D29" s="23">
        <v>0</v>
      </c>
      <c r="E29" s="23">
        <v>2</v>
      </c>
      <c r="F29" s="23">
        <v>1</v>
      </c>
      <c r="G29" s="23">
        <v>0</v>
      </c>
      <c r="H29" s="23">
        <v>0</v>
      </c>
      <c r="I29" s="23">
        <v>530</v>
      </c>
      <c r="J29" s="23">
        <v>41</v>
      </c>
      <c r="K29" s="23">
        <v>2</v>
      </c>
      <c r="L29" s="23">
        <v>2</v>
      </c>
      <c r="M29" s="23">
        <v>7</v>
      </c>
      <c r="N29" s="23">
        <v>0</v>
      </c>
      <c r="O29" s="23">
        <v>0</v>
      </c>
      <c r="P29" s="23">
        <v>3</v>
      </c>
      <c r="Q29" s="23">
        <v>18</v>
      </c>
    </row>
    <row r="30" spans="1:17" x14ac:dyDescent="0.25">
      <c r="A30" s="18" t="s">
        <v>130</v>
      </c>
      <c r="B30" s="23">
        <v>99</v>
      </c>
      <c r="C30" s="23">
        <v>232</v>
      </c>
      <c r="D30" s="23">
        <v>23</v>
      </c>
      <c r="E30" s="23">
        <v>3</v>
      </c>
      <c r="F30" s="23">
        <v>2</v>
      </c>
      <c r="G30" s="23">
        <v>0</v>
      </c>
      <c r="H30" s="23">
        <v>0</v>
      </c>
      <c r="I30" s="23">
        <v>626</v>
      </c>
      <c r="J30" s="23">
        <v>43</v>
      </c>
      <c r="K30" s="23">
        <v>2</v>
      </c>
      <c r="L30" s="23">
        <v>2</v>
      </c>
      <c r="M30" s="23">
        <v>8</v>
      </c>
      <c r="N30" s="23">
        <v>0</v>
      </c>
      <c r="O30" s="23">
        <v>20</v>
      </c>
      <c r="P30" s="23">
        <v>6</v>
      </c>
      <c r="Q30" s="23">
        <v>15</v>
      </c>
    </row>
    <row r="31" spans="1:17" ht="20.399999999999999" x14ac:dyDescent="0.35">
      <c r="A31" s="9" t="s">
        <v>23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</row>
    <row r="32" spans="1:17" x14ac:dyDescent="0.25">
      <c r="A32" s="16" t="s">
        <v>51</v>
      </c>
      <c r="B32" s="17">
        <v>89</v>
      </c>
      <c r="C32" s="17">
        <v>10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10</v>
      </c>
      <c r="J32" s="17">
        <v>2</v>
      </c>
      <c r="K32" s="17">
        <v>1</v>
      </c>
      <c r="L32" s="17">
        <v>2</v>
      </c>
      <c r="M32" s="17">
        <v>1</v>
      </c>
      <c r="N32" s="17">
        <v>6</v>
      </c>
      <c r="O32" s="17">
        <v>6</v>
      </c>
      <c r="P32" s="17">
        <v>2</v>
      </c>
      <c r="Q32" s="17">
        <v>2</v>
      </c>
    </row>
    <row r="33" spans="1:17" x14ac:dyDescent="0.25">
      <c r="A33" s="18" t="s">
        <v>52</v>
      </c>
      <c r="B33" s="17">
        <v>89</v>
      </c>
      <c r="C33" s="17">
        <v>10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10</v>
      </c>
      <c r="J33" s="17">
        <v>2</v>
      </c>
      <c r="K33" s="17">
        <v>1</v>
      </c>
      <c r="L33" s="17">
        <v>2</v>
      </c>
      <c r="M33" s="17">
        <v>1</v>
      </c>
      <c r="N33" s="17">
        <v>6</v>
      </c>
      <c r="O33" s="17">
        <v>6</v>
      </c>
      <c r="P33" s="17">
        <v>2</v>
      </c>
      <c r="Q33" s="17">
        <v>2</v>
      </c>
    </row>
    <row r="34" spans="1:17" x14ac:dyDescent="0.25">
      <c r="A34" s="18" t="s">
        <v>53</v>
      </c>
      <c r="B34" s="17">
        <v>89</v>
      </c>
      <c r="C34" s="17">
        <v>10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10</v>
      </c>
      <c r="J34" s="17">
        <v>2</v>
      </c>
      <c r="K34" s="17">
        <v>1</v>
      </c>
      <c r="L34" s="17">
        <v>2</v>
      </c>
      <c r="M34" s="17">
        <v>1</v>
      </c>
      <c r="N34" s="17">
        <v>6</v>
      </c>
      <c r="O34" s="17">
        <v>6</v>
      </c>
      <c r="P34" s="17">
        <v>2</v>
      </c>
      <c r="Q34" s="17">
        <v>2</v>
      </c>
    </row>
    <row r="35" spans="1:17" x14ac:dyDescent="0.25">
      <c r="A35" s="18" t="s">
        <v>54</v>
      </c>
      <c r="B35" s="17">
        <v>89</v>
      </c>
      <c r="C35" s="17">
        <v>10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10</v>
      </c>
      <c r="J35" s="17">
        <v>2</v>
      </c>
      <c r="K35" s="17">
        <v>1</v>
      </c>
      <c r="L35" s="17">
        <v>2</v>
      </c>
      <c r="M35" s="17">
        <v>1</v>
      </c>
      <c r="N35" s="17">
        <v>6</v>
      </c>
      <c r="O35" s="17">
        <v>6</v>
      </c>
      <c r="P35" s="17">
        <v>2</v>
      </c>
      <c r="Q35" s="17">
        <v>2</v>
      </c>
    </row>
    <row r="36" spans="1:17" x14ac:dyDescent="0.25">
      <c r="A36" s="18" t="s">
        <v>55</v>
      </c>
      <c r="B36" s="17">
        <v>89</v>
      </c>
      <c r="C36" s="17">
        <v>10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10</v>
      </c>
      <c r="J36" s="17">
        <v>2</v>
      </c>
      <c r="K36" s="17">
        <v>1</v>
      </c>
      <c r="L36" s="17">
        <v>2</v>
      </c>
      <c r="M36" s="17">
        <v>1</v>
      </c>
      <c r="N36" s="17">
        <v>6</v>
      </c>
      <c r="O36" s="17">
        <v>6</v>
      </c>
      <c r="P36" s="17">
        <v>2</v>
      </c>
      <c r="Q36" s="17">
        <v>2</v>
      </c>
    </row>
    <row r="37" spans="1:17" x14ac:dyDescent="0.25">
      <c r="A37" s="18" t="s">
        <v>138</v>
      </c>
      <c r="B37" s="17">
        <v>89</v>
      </c>
      <c r="C37" s="17">
        <v>10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10</v>
      </c>
      <c r="J37" s="17">
        <v>2</v>
      </c>
      <c r="K37" s="17">
        <v>1</v>
      </c>
      <c r="L37" s="17">
        <v>2</v>
      </c>
      <c r="M37" s="17">
        <v>1</v>
      </c>
      <c r="N37" s="17">
        <v>6</v>
      </c>
      <c r="O37" s="17">
        <v>6</v>
      </c>
      <c r="P37" s="17">
        <v>2</v>
      </c>
      <c r="Q37" s="29">
        <v>2</v>
      </c>
    </row>
    <row r="38" spans="1:17" ht="20.399999999999999" x14ac:dyDescent="0.35">
      <c r="A38" s="9" t="s">
        <v>17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1:17" x14ac:dyDescent="0.25">
      <c r="A39" s="16" t="s">
        <v>56</v>
      </c>
      <c r="B39" s="23">
        <v>85</v>
      </c>
      <c r="C39" s="23">
        <v>94</v>
      </c>
      <c r="D39" s="23">
        <v>9</v>
      </c>
      <c r="E39" s="23">
        <v>1</v>
      </c>
      <c r="F39" s="23">
        <v>0</v>
      </c>
      <c r="G39" s="23">
        <v>0</v>
      </c>
      <c r="H39" s="23">
        <v>49</v>
      </c>
      <c r="I39" s="23">
        <v>55</v>
      </c>
      <c r="J39" s="23">
        <v>0</v>
      </c>
      <c r="K39" s="23">
        <v>0</v>
      </c>
      <c r="L39" s="23">
        <v>0</v>
      </c>
      <c r="M39" s="23">
        <v>20</v>
      </c>
      <c r="N39" s="23">
        <v>0</v>
      </c>
      <c r="O39" s="23">
        <v>2</v>
      </c>
      <c r="P39" s="23">
        <v>9</v>
      </c>
      <c r="Q39" s="23">
        <v>3</v>
      </c>
    </row>
    <row r="40" spans="1:17" x14ac:dyDescent="0.25">
      <c r="A40" s="18" t="s">
        <v>150</v>
      </c>
      <c r="B40" s="17">
        <v>85</v>
      </c>
      <c r="C40" s="17">
        <v>94</v>
      </c>
      <c r="D40" s="17">
        <v>9</v>
      </c>
      <c r="E40" s="17">
        <v>1</v>
      </c>
      <c r="F40" s="17">
        <v>0</v>
      </c>
      <c r="G40" s="17">
        <v>0</v>
      </c>
      <c r="H40" s="17">
        <v>49</v>
      </c>
      <c r="I40" s="17">
        <v>55</v>
      </c>
      <c r="J40" s="17">
        <v>0</v>
      </c>
      <c r="K40" s="17">
        <v>0</v>
      </c>
      <c r="L40" s="17">
        <v>0</v>
      </c>
      <c r="M40" s="17">
        <v>20</v>
      </c>
      <c r="N40" s="17">
        <v>0</v>
      </c>
      <c r="O40" s="17">
        <v>2</v>
      </c>
      <c r="P40" s="17">
        <v>9</v>
      </c>
      <c r="Q40" s="17">
        <v>3</v>
      </c>
    </row>
    <row r="41" spans="1:17" x14ac:dyDescent="0.25">
      <c r="A41" s="18" t="s">
        <v>153</v>
      </c>
      <c r="B41" s="17">
        <v>85</v>
      </c>
      <c r="C41" s="17">
        <v>94</v>
      </c>
      <c r="D41" s="17">
        <v>9</v>
      </c>
      <c r="E41" s="17">
        <v>1</v>
      </c>
      <c r="F41" s="17">
        <v>0</v>
      </c>
      <c r="G41" s="17">
        <v>0</v>
      </c>
      <c r="H41" s="17">
        <v>49</v>
      </c>
      <c r="I41" s="17">
        <v>55</v>
      </c>
      <c r="J41" s="17">
        <v>0</v>
      </c>
      <c r="K41" s="17">
        <v>0</v>
      </c>
      <c r="L41" s="17">
        <v>0</v>
      </c>
      <c r="M41" s="17">
        <v>20</v>
      </c>
      <c r="N41" s="17">
        <v>0</v>
      </c>
      <c r="O41" s="17">
        <v>2</v>
      </c>
      <c r="P41" s="17">
        <v>9</v>
      </c>
      <c r="Q41" s="17">
        <v>3</v>
      </c>
    </row>
    <row r="42" spans="1:17" ht="20.399999999999999" x14ac:dyDescent="0.35">
      <c r="A42" s="9" t="s">
        <v>16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1:17" x14ac:dyDescent="0.25">
      <c r="A43" s="16" t="s">
        <v>57</v>
      </c>
      <c r="B43" s="23">
        <v>100</v>
      </c>
      <c r="C43" s="23">
        <v>222</v>
      </c>
      <c r="D43" s="23">
        <v>144</v>
      </c>
      <c r="E43" s="23">
        <v>15.97</v>
      </c>
      <c r="F43" s="23">
        <v>4.4800000000000004</v>
      </c>
      <c r="G43" s="23">
        <v>0.19</v>
      </c>
      <c r="H43" s="23">
        <v>77</v>
      </c>
      <c r="I43" s="23">
        <v>73</v>
      </c>
      <c r="J43" s="23">
        <v>0</v>
      </c>
      <c r="K43" s="23">
        <v>0</v>
      </c>
      <c r="L43" s="23">
        <v>0</v>
      </c>
      <c r="M43" s="23">
        <v>18.3</v>
      </c>
      <c r="N43" s="23">
        <v>2.94</v>
      </c>
      <c r="O43" s="23">
        <v>1.17</v>
      </c>
      <c r="P43" s="23">
        <v>1.2</v>
      </c>
      <c r="Q43" s="23">
        <v>5.28</v>
      </c>
    </row>
    <row r="44" spans="1:17" x14ac:dyDescent="0.25">
      <c r="A44" s="18" t="s">
        <v>151</v>
      </c>
      <c r="B44" s="17">
        <v>100</v>
      </c>
      <c r="C44" s="17">
        <v>222</v>
      </c>
      <c r="D44" s="17">
        <v>144</v>
      </c>
      <c r="E44" s="17">
        <v>15.97</v>
      </c>
      <c r="F44" s="17">
        <v>4.4800000000000004</v>
      </c>
      <c r="G44" s="17">
        <v>0.19</v>
      </c>
      <c r="H44" s="17">
        <v>77</v>
      </c>
      <c r="I44" s="17">
        <v>73</v>
      </c>
      <c r="J44" s="17">
        <v>0</v>
      </c>
      <c r="K44" s="17">
        <v>0</v>
      </c>
      <c r="L44" s="17">
        <v>0</v>
      </c>
      <c r="M44" s="17">
        <v>18.3</v>
      </c>
      <c r="N44" s="17">
        <v>2.94</v>
      </c>
      <c r="O44" s="17">
        <v>1.17</v>
      </c>
      <c r="P44" s="17">
        <v>1.2</v>
      </c>
      <c r="Q44" s="17">
        <v>5.28</v>
      </c>
    </row>
    <row r="45" spans="1:17" x14ac:dyDescent="0.25">
      <c r="A45" s="18" t="s">
        <v>152</v>
      </c>
      <c r="B45" s="17">
        <v>100</v>
      </c>
      <c r="C45" s="17">
        <v>222</v>
      </c>
      <c r="D45" s="17">
        <v>144</v>
      </c>
      <c r="E45" s="17">
        <v>15.97</v>
      </c>
      <c r="F45" s="17">
        <v>4.4800000000000004</v>
      </c>
      <c r="G45" s="17">
        <v>0.19</v>
      </c>
      <c r="H45" s="17">
        <v>77</v>
      </c>
      <c r="I45" s="17">
        <v>73</v>
      </c>
      <c r="J45" s="17">
        <v>0</v>
      </c>
      <c r="K45" s="17">
        <v>0</v>
      </c>
      <c r="L45" s="17">
        <v>0</v>
      </c>
      <c r="M45" s="17">
        <v>18.3</v>
      </c>
      <c r="N45" s="17">
        <v>2.94</v>
      </c>
      <c r="O45" s="17">
        <v>1.17</v>
      </c>
      <c r="P45" s="17">
        <v>1.2</v>
      </c>
      <c r="Q45" s="17">
        <v>5.28</v>
      </c>
    </row>
    <row r="46" spans="1:17" ht="20.399999999999999" x14ac:dyDescent="0.35">
      <c r="A46" s="9" t="s">
        <v>36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</row>
    <row r="47" spans="1:17" x14ac:dyDescent="0.25">
      <c r="A47" s="18" t="s">
        <v>58</v>
      </c>
      <c r="B47" s="23">
        <v>30</v>
      </c>
      <c r="C47" s="23">
        <v>120</v>
      </c>
      <c r="D47" s="23">
        <v>120</v>
      </c>
      <c r="E47" s="23">
        <v>13</v>
      </c>
      <c r="F47" s="23">
        <v>2.5</v>
      </c>
      <c r="G47" s="23">
        <v>1.5</v>
      </c>
      <c r="H47" s="23">
        <v>0</v>
      </c>
      <c r="I47" s="23">
        <v>590</v>
      </c>
      <c r="J47" s="23">
        <v>1</v>
      </c>
      <c r="K47" s="23">
        <v>0</v>
      </c>
      <c r="L47" s="23">
        <v>0</v>
      </c>
      <c r="M47" s="23">
        <v>0</v>
      </c>
      <c r="N47" s="23">
        <v>0.15</v>
      </c>
      <c r="O47" s="23">
        <v>0</v>
      </c>
      <c r="P47" s="23">
        <v>0</v>
      </c>
      <c r="Q47" s="23">
        <v>0</v>
      </c>
    </row>
    <row r="48" spans="1:17" x14ac:dyDescent="0.25">
      <c r="A48" s="18" t="s">
        <v>59</v>
      </c>
      <c r="B48" s="23">
        <v>30</v>
      </c>
      <c r="C48" s="23">
        <v>70</v>
      </c>
      <c r="D48" s="23">
        <v>60</v>
      </c>
      <c r="E48" s="23">
        <v>7</v>
      </c>
      <c r="F48" s="23">
        <v>1</v>
      </c>
      <c r="G48" s="23">
        <v>0.5</v>
      </c>
      <c r="H48" s="23">
        <v>0</v>
      </c>
      <c r="I48" s="23">
        <v>800</v>
      </c>
      <c r="J48" s="23">
        <v>1</v>
      </c>
      <c r="K48" s="23">
        <v>0</v>
      </c>
      <c r="L48" s="23">
        <v>0</v>
      </c>
      <c r="M48" s="23">
        <v>0</v>
      </c>
      <c r="N48" s="23">
        <v>0.15</v>
      </c>
      <c r="O48" s="23">
        <v>0.02</v>
      </c>
      <c r="P48" s="23">
        <v>0</v>
      </c>
      <c r="Q48" s="23">
        <v>0</v>
      </c>
    </row>
    <row r="49" spans="1:17" x14ac:dyDescent="0.25">
      <c r="A49" s="18" t="s">
        <v>60</v>
      </c>
      <c r="B49" s="23">
        <v>30</v>
      </c>
      <c r="C49" s="23">
        <v>5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1010</v>
      </c>
      <c r="J49" s="23">
        <v>1</v>
      </c>
      <c r="K49" s="23">
        <v>0</v>
      </c>
      <c r="L49" s="23">
        <v>0</v>
      </c>
      <c r="M49" s="23">
        <v>0</v>
      </c>
      <c r="N49" s="23">
        <v>0.15</v>
      </c>
      <c r="O49" s="23">
        <v>0.02</v>
      </c>
      <c r="P49" s="23">
        <v>0</v>
      </c>
      <c r="Q49" s="23">
        <v>0</v>
      </c>
    </row>
    <row r="50" spans="1:17" x14ac:dyDescent="0.25">
      <c r="A50" s="18" t="s">
        <v>61</v>
      </c>
      <c r="B50" s="23">
        <v>30</v>
      </c>
      <c r="C50" s="23">
        <v>5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640</v>
      </c>
      <c r="J50" s="23">
        <v>1</v>
      </c>
      <c r="K50" s="23">
        <v>0</v>
      </c>
      <c r="L50" s="23">
        <v>0</v>
      </c>
      <c r="M50" s="23">
        <v>0</v>
      </c>
      <c r="N50" s="23">
        <v>15</v>
      </c>
      <c r="O50" s="23">
        <v>0</v>
      </c>
      <c r="P50" s="23">
        <v>2</v>
      </c>
      <c r="Q50" s="23">
        <v>0</v>
      </c>
    </row>
    <row r="51" spans="1:17" x14ac:dyDescent="0.25">
      <c r="A51" s="18" t="s">
        <v>62</v>
      </c>
      <c r="B51" s="23">
        <v>30</v>
      </c>
      <c r="C51" s="23">
        <v>10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590</v>
      </c>
      <c r="J51" s="23">
        <v>1</v>
      </c>
      <c r="K51" s="23">
        <v>0</v>
      </c>
      <c r="L51" s="23">
        <v>1</v>
      </c>
      <c r="M51" s="23">
        <v>0</v>
      </c>
      <c r="N51" s="23">
        <v>20</v>
      </c>
      <c r="O51" s="23">
        <v>4</v>
      </c>
      <c r="P51" s="23">
        <v>2</v>
      </c>
      <c r="Q51" s="23">
        <v>2</v>
      </c>
    </row>
    <row r="52" spans="1:17" x14ac:dyDescent="0.25">
      <c r="A52" s="18" t="s">
        <v>175</v>
      </c>
      <c r="B52" s="22">
        <f>B53</f>
        <v>30</v>
      </c>
      <c r="C52" s="22">
        <f t="shared" ref="C52:Q52" si="5">C53</f>
        <v>60</v>
      </c>
      <c r="D52" s="22">
        <f t="shared" si="5"/>
        <v>5</v>
      </c>
      <c r="E52" s="22">
        <f t="shared" si="5"/>
        <v>0.5</v>
      </c>
      <c r="F52" s="22">
        <f t="shared" si="5"/>
        <v>0</v>
      </c>
      <c r="G52" s="22">
        <f t="shared" si="5"/>
        <v>0</v>
      </c>
      <c r="H52" s="22">
        <f t="shared" si="5"/>
        <v>0</v>
      </c>
      <c r="I52" s="22">
        <f t="shared" si="5"/>
        <v>380</v>
      </c>
      <c r="J52" s="22">
        <f t="shared" si="5"/>
        <v>14</v>
      </c>
      <c r="K52" s="22">
        <f t="shared" si="5"/>
        <v>0</v>
      </c>
      <c r="L52" s="22">
        <f t="shared" si="5"/>
        <v>13</v>
      </c>
      <c r="M52" s="22">
        <f t="shared" si="5"/>
        <v>0</v>
      </c>
      <c r="N52" s="22">
        <f t="shared" si="5"/>
        <v>0</v>
      </c>
      <c r="O52" s="22">
        <f t="shared" si="5"/>
        <v>4</v>
      </c>
      <c r="P52" s="22">
        <f t="shared" si="5"/>
        <v>0</v>
      </c>
      <c r="Q52" s="22">
        <f t="shared" si="5"/>
        <v>0</v>
      </c>
    </row>
    <row r="53" spans="1:17" x14ac:dyDescent="0.25">
      <c r="A53" s="18" t="s">
        <v>176</v>
      </c>
      <c r="B53" s="23">
        <v>30</v>
      </c>
      <c r="C53" s="23">
        <v>60</v>
      </c>
      <c r="D53" s="23">
        <v>5</v>
      </c>
      <c r="E53" s="23">
        <v>0.5</v>
      </c>
      <c r="F53" s="23">
        <v>0</v>
      </c>
      <c r="G53" s="23">
        <v>0</v>
      </c>
      <c r="H53" s="23">
        <v>0</v>
      </c>
      <c r="I53" s="23">
        <v>380</v>
      </c>
      <c r="J53" s="23">
        <v>14</v>
      </c>
      <c r="K53" s="23">
        <v>0</v>
      </c>
      <c r="L53" s="23">
        <v>13</v>
      </c>
      <c r="M53" s="23">
        <v>0</v>
      </c>
      <c r="N53" s="23">
        <v>0</v>
      </c>
      <c r="O53" s="23">
        <v>4</v>
      </c>
      <c r="P53" s="23">
        <v>0</v>
      </c>
      <c r="Q53" s="23">
        <v>0</v>
      </c>
    </row>
    <row r="54" spans="1:17" x14ac:dyDescent="0.25">
      <c r="A54" s="18" t="s">
        <v>63</v>
      </c>
      <c r="B54" s="23">
        <v>30</v>
      </c>
      <c r="C54" s="23">
        <v>90</v>
      </c>
      <c r="D54" s="23">
        <v>40</v>
      </c>
      <c r="E54" s="23">
        <v>4.5</v>
      </c>
      <c r="F54" s="23">
        <v>0.5</v>
      </c>
      <c r="G54" s="23">
        <v>0</v>
      </c>
      <c r="H54" s="23">
        <v>5</v>
      </c>
      <c r="I54" s="23">
        <v>280</v>
      </c>
      <c r="J54" s="23">
        <v>12</v>
      </c>
      <c r="K54" s="23">
        <v>0</v>
      </c>
      <c r="L54" s="23">
        <v>12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</row>
    <row r="55" spans="1:17" x14ac:dyDescent="0.25">
      <c r="A55" s="18" t="s">
        <v>177</v>
      </c>
      <c r="B55" s="23">
        <v>30</v>
      </c>
      <c r="C55" s="23">
        <v>60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115</v>
      </c>
      <c r="J55" s="23">
        <v>14</v>
      </c>
      <c r="K55" s="23">
        <v>0</v>
      </c>
      <c r="L55" s="23">
        <v>12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</row>
    <row r="56" spans="1:17" x14ac:dyDescent="0.25">
      <c r="A56" s="18" t="s">
        <v>144</v>
      </c>
      <c r="B56" s="23">
        <v>15</v>
      </c>
      <c r="C56" s="23">
        <v>30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260</v>
      </c>
      <c r="J56" s="23">
        <v>6</v>
      </c>
      <c r="K56" s="23">
        <v>0</v>
      </c>
      <c r="L56" s="23">
        <v>5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</row>
    <row r="57" spans="1:17" x14ac:dyDescent="0.25">
      <c r="A57" s="18" t="s">
        <v>164</v>
      </c>
      <c r="B57" s="23">
        <v>60</v>
      </c>
      <c r="C57" s="23">
        <v>187.4</v>
      </c>
      <c r="D57" s="23">
        <v>1.4</v>
      </c>
      <c r="E57" s="23">
        <v>0.16</v>
      </c>
      <c r="F57" s="23">
        <v>0</v>
      </c>
      <c r="G57" s="23">
        <v>0</v>
      </c>
      <c r="H57" s="23">
        <v>0</v>
      </c>
      <c r="I57" s="23">
        <v>1270</v>
      </c>
      <c r="J57" s="23">
        <v>46.1</v>
      </c>
      <c r="K57" s="23">
        <v>0.84</v>
      </c>
      <c r="L57" s="23">
        <v>39.79</v>
      </c>
      <c r="M57" s="23">
        <v>0.38</v>
      </c>
      <c r="N57" s="23">
        <v>0</v>
      </c>
      <c r="O57" s="23">
        <v>0</v>
      </c>
      <c r="P57" s="23">
        <v>0</v>
      </c>
      <c r="Q57" s="23">
        <v>0</v>
      </c>
    </row>
    <row r="58" spans="1:17" x14ac:dyDescent="0.25">
      <c r="A58" s="18" t="s">
        <v>64</v>
      </c>
      <c r="B58" s="23">
        <v>30</v>
      </c>
      <c r="C58" s="23">
        <v>70</v>
      </c>
      <c r="D58" s="23">
        <v>60</v>
      </c>
      <c r="E58" s="23">
        <v>7</v>
      </c>
      <c r="F58" s="23">
        <v>1</v>
      </c>
      <c r="G58" s="23">
        <v>0.5</v>
      </c>
      <c r="H58" s="23">
        <v>0</v>
      </c>
      <c r="I58" s="23">
        <v>800</v>
      </c>
      <c r="J58" s="23">
        <v>1</v>
      </c>
      <c r="K58" s="23">
        <v>0</v>
      </c>
      <c r="L58" s="23">
        <v>0</v>
      </c>
      <c r="M58" s="23">
        <v>0</v>
      </c>
      <c r="N58" s="23">
        <v>0.15</v>
      </c>
      <c r="O58" s="23">
        <v>0.02</v>
      </c>
      <c r="P58" s="23">
        <v>0</v>
      </c>
      <c r="Q58" s="23">
        <v>0</v>
      </c>
    </row>
    <row r="59" spans="1:17" x14ac:dyDescent="0.25">
      <c r="A59" s="18" t="s">
        <v>70</v>
      </c>
      <c r="B59" s="23">
        <v>30</v>
      </c>
      <c r="C59" s="23">
        <v>120</v>
      </c>
      <c r="D59" s="23">
        <v>120</v>
      </c>
      <c r="E59" s="23">
        <v>13</v>
      </c>
      <c r="F59" s="23">
        <v>2.5</v>
      </c>
      <c r="G59" s="23">
        <v>1.5</v>
      </c>
      <c r="H59" s="23">
        <v>0</v>
      </c>
      <c r="I59" s="23">
        <v>590</v>
      </c>
      <c r="J59" s="23">
        <v>1</v>
      </c>
      <c r="K59" s="23">
        <v>0</v>
      </c>
      <c r="L59" s="23">
        <v>0</v>
      </c>
      <c r="M59" s="23">
        <v>0</v>
      </c>
      <c r="N59" s="23">
        <v>0.15</v>
      </c>
      <c r="O59" s="23">
        <v>0</v>
      </c>
      <c r="P59" s="23">
        <v>0</v>
      </c>
      <c r="Q59" s="23">
        <v>0</v>
      </c>
    </row>
    <row r="60" spans="1:17" x14ac:dyDescent="0.25">
      <c r="A60" s="18" t="s">
        <v>65</v>
      </c>
      <c r="B60" s="23">
        <v>30</v>
      </c>
      <c r="C60" s="23">
        <v>120</v>
      </c>
      <c r="D60" s="23">
        <v>120</v>
      </c>
      <c r="E60" s="23">
        <v>13</v>
      </c>
      <c r="F60" s="23">
        <v>2.5</v>
      </c>
      <c r="G60" s="23">
        <v>1.5</v>
      </c>
      <c r="H60" s="23">
        <v>0</v>
      </c>
      <c r="I60" s="23">
        <v>590</v>
      </c>
      <c r="J60" s="23">
        <v>1</v>
      </c>
      <c r="K60" s="23">
        <v>0</v>
      </c>
      <c r="L60" s="23">
        <v>0</v>
      </c>
      <c r="M60" s="23">
        <v>0</v>
      </c>
      <c r="N60" s="23">
        <v>0.15</v>
      </c>
      <c r="O60" s="23">
        <v>0</v>
      </c>
      <c r="P60" s="23">
        <v>0</v>
      </c>
      <c r="Q60" s="23">
        <v>0</v>
      </c>
    </row>
    <row r="61" spans="1:17" x14ac:dyDescent="0.25">
      <c r="A61" s="18" t="s">
        <v>66</v>
      </c>
      <c r="B61" s="17">
        <f t="shared" ref="B61:Q61" si="6">B49/2+B62/2</f>
        <v>30</v>
      </c>
      <c r="C61" s="17">
        <f t="shared" si="6"/>
        <v>122.5</v>
      </c>
      <c r="D61" s="17">
        <f t="shared" si="6"/>
        <v>110</v>
      </c>
      <c r="E61" s="17">
        <f t="shared" si="6"/>
        <v>12.5</v>
      </c>
      <c r="F61" s="17">
        <f t="shared" si="6"/>
        <v>2.5</v>
      </c>
      <c r="G61" s="17">
        <f t="shared" si="6"/>
        <v>2.25</v>
      </c>
      <c r="H61" s="17">
        <f t="shared" si="6"/>
        <v>0</v>
      </c>
      <c r="I61" s="17">
        <f t="shared" si="6"/>
        <v>635</v>
      </c>
      <c r="J61" s="17">
        <f t="shared" si="6"/>
        <v>2</v>
      </c>
      <c r="K61" s="17">
        <f t="shared" si="6"/>
        <v>0</v>
      </c>
      <c r="L61" s="17">
        <f t="shared" si="6"/>
        <v>0.5</v>
      </c>
      <c r="M61" s="17">
        <f t="shared" si="6"/>
        <v>0.5</v>
      </c>
      <c r="N61" s="17">
        <f t="shared" si="6"/>
        <v>4.0750000000000002</v>
      </c>
      <c r="O61" s="17">
        <f t="shared" si="6"/>
        <v>1.01</v>
      </c>
      <c r="P61" s="17">
        <f t="shared" si="6"/>
        <v>0</v>
      </c>
      <c r="Q61" s="17">
        <f t="shared" si="6"/>
        <v>1</v>
      </c>
    </row>
    <row r="62" spans="1:17" x14ac:dyDescent="0.25">
      <c r="A62" s="18" t="s">
        <v>67</v>
      </c>
      <c r="B62" s="23">
        <v>30</v>
      </c>
      <c r="C62" s="23">
        <v>240</v>
      </c>
      <c r="D62" s="23">
        <v>220</v>
      </c>
      <c r="E62" s="23">
        <v>25</v>
      </c>
      <c r="F62" s="23">
        <v>5</v>
      </c>
      <c r="G62" s="23">
        <v>4.5</v>
      </c>
      <c r="H62" s="23">
        <v>0</v>
      </c>
      <c r="I62" s="23">
        <v>260</v>
      </c>
      <c r="J62" s="23">
        <v>3</v>
      </c>
      <c r="K62" s="23">
        <v>0</v>
      </c>
      <c r="L62" s="23">
        <v>1</v>
      </c>
      <c r="M62" s="23">
        <v>1</v>
      </c>
      <c r="N62" s="23">
        <v>8</v>
      </c>
      <c r="O62" s="23">
        <v>2</v>
      </c>
      <c r="P62" s="23">
        <v>0</v>
      </c>
      <c r="Q62" s="23">
        <v>2</v>
      </c>
    </row>
    <row r="63" spans="1:17" x14ac:dyDescent="0.25">
      <c r="A63" s="18" t="s">
        <v>68</v>
      </c>
      <c r="B63" s="17">
        <f t="shared" ref="B63:Q63" si="7">B62+B139</f>
        <v>35</v>
      </c>
      <c r="C63" s="17">
        <f t="shared" si="7"/>
        <v>260</v>
      </c>
      <c r="D63" s="17">
        <f t="shared" si="7"/>
        <v>235</v>
      </c>
      <c r="E63" s="17">
        <f t="shared" si="7"/>
        <v>26.5</v>
      </c>
      <c r="F63" s="17">
        <f t="shared" si="7"/>
        <v>6</v>
      </c>
      <c r="G63" s="17">
        <f t="shared" si="7"/>
        <v>4.5</v>
      </c>
      <c r="H63" s="17">
        <f t="shared" si="7"/>
        <v>5</v>
      </c>
      <c r="I63" s="17">
        <f t="shared" si="7"/>
        <v>345</v>
      </c>
      <c r="J63" s="17">
        <f t="shared" si="7"/>
        <v>3</v>
      </c>
      <c r="K63" s="17">
        <f t="shared" si="7"/>
        <v>0</v>
      </c>
      <c r="L63" s="17">
        <f t="shared" si="7"/>
        <v>1</v>
      </c>
      <c r="M63" s="17">
        <f t="shared" si="7"/>
        <v>3</v>
      </c>
      <c r="N63" s="17">
        <f t="shared" si="7"/>
        <v>8</v>
      </c>
      <c r="O63" s="17">
        <f t="shared" si="7"/>
        <v>2</v>
      </c>
      <c r="P63" s="17">
        <f t="shared" si="7"/>
        <v>6</v>
      </c>
      <c r="Q63" s="17">
        <f t="shared" si="7"/>
        <v>2</v>
      </c>
    </row>
    <row r="64" spans="1:17" x14ac:dyDescent="0.25">
      <c r="A64" s="18" t="s">
        <v>69</v>
      </c>
      <c r="B64" s="23">
        <v>30</v>
      </c>
      <c r="C64" s="23">
        <v>130</v>
      </c>
      <c r="D64" s="23">
        <v>130</v>
      </c>
      <c r="E64" s="23">
        <v>14</v>
      </c>
      <c r="F64" s="23">
        <v>2.5</v>
      </c>
      <c r="G64" s="23">
        <v>0</v>
      </c>
      <c r="H64" s="23">
        <v>0</v>
      </c>
      <c r="I64" s="23">
        <v>100</v>
      </c>
      <c r="J64" s="23">
        <v>0</v>
      </c>
      <c r="K64" s="23">
        <v>0</v>
      </c>
      <c r="L64" s="23">
        <v>0</v>
      </c>
      <c r="M64" s="23">
        <v>0</v>
      </c>
      <c r="N64" s="23">
        <v>15</v>
      </c>
      <c r="O64" s="23">
        <v>0</v>
      </c>
      <c r="P64" s="23">
        <v>0</v>
      </c>
      <c r="Q64" s="23">
        <v>0</v>
      </c>
    </row>
    <row r="65" spans="1:17" ht="20.399999999999999" x14ac:dyDescent="0.35">
      <c r="A65" s="9" t="s">
        <v>18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3"/>
    </row>
    <row r="66" spans="1:17" x14ac:dyDescent="0.25">
      <c r="A66" s="16" t="s">
        <v>159</v>
      </c>
      <c r="B66" s="23">
        <v>85</v>
      </c>
      <c r="C66" s="23">
        <v>94</v>
      </c>
      <c r="D66" s="23">
        <v>9</v>
      </c>
      <c r="E66" s="23">
        <v>1</v>
      </c>
      <c r="F66" s="23">
        <v>0</v>
      </c>
      <c r="G66" s="23">
        <v>0</v>
      </c>
      <c r="H66" s="23">
        <v>49</v>
      </c>
      <c r="I66" s="23">
        <v>55</v>
      </c>
      <c r="J66" s="23">
        <v>0</v>
      </c>
      <c r="K66" s="23">
        <v>0</v>
      </c>
      <c r="L66" s="23">
        <v>0</v>
      </c>
      <c r="M66" s="23">
        <v>20</v>
      </c>
      <c r="N66" s="23">
        <v>0</v>
      </c>
      <c r="O66" s="23">
        <v>2</v>
      </c>
      <c r="P66" s="23">
        <v>9</v>
      </c>
      <c r="Q66" s="23">
        <v>3</v>
      </c>
    </row>
    <row r="67" spans="1:17" x14ac:dyDescent="0.25">
      <c r="A67" s="18" t="s">
        <v>158</v>
      </c>
      <c r="B67" s="37">
        <f>B66</f>
        <v>85</v>
      </c>
      <c r="C67" s="37">
        <f t="shared" ref="C67:Q67" si="8">C66</f>
        <v>94</v>
      </c>
      <c r="D67" s="37">
        <f t="shared" si="8"/>
        <v>9</v>
      </c>
      <c r="E67" s="37">
        <f t="shared" si="8"/>
        <v>1</v>
      </c>
      <c r="F67" s="37">
        <f t="shared" si="8"/>
        <v>0</v>
      </c>
      <c r="G67" s="37">
        <f t="shared" si="8"/>
        <v>0</v>
      </c>
      <c r="H67" s="37">
        <f t="shared" si="8"/>
        <v>49</v>
      </c>
      <c r="I67" s="37">
        <f t="shared" si="8"/>
        <v>55</v>
      </c>
      <c r="J67" s="37">
        <f t="shared" si="8"/>
        <v>0</v>
      </c>
      <c r="K67" s="37">
        <f t="shared" si="8"/>
        <v>0</v>
      </c>
      <c r="L67" s="37">
        <f t="shared" si="8"/>
        <v>0</v>
      </c>
      <c r="M67" s="37">
        <f t="shared" si="8"/>
        <v>20</v>
      </c>
      <c r="N67" s="37">
        <f t="shared" si="8"/>
        <v>0</v>
      </c>
      <c r="O67" s="37">
        <f t="shared" si="8"/>
        <v>2</v>
      </c>
      <c r="P67" s="37">
        <f t="shared" si="8"/>
        <v>9</v>
      </c>
      <c r="Q67" s="37">
        <f t="shared" si="8"/>
        <v>3</v>
      </c>
    </row>
    <row r="68" spans="1:17" x14ac:dyDescent="0.25">
      <c r="A68" s="18" t="s">
        <v>160</v>
      </c>
      <c r="B68" s="37">
        <f>B66</f>
        <v>85</v>
      </c>
      <c r="C68" s="37">
        <f t="shared" ref="C68:Q68" si="9">C66</f>
        <v>94</v>
      </c>
      <c r="D68" s="37">
        <f t="shared" si="9"/>
        <v>9</v>
      </c>
      <c r="E68" s="37">
        <f t="shared" si="9"/>
        <v>1</v>
      </c>
      <c r="F68" s="37">
        <f t="shared" si="9"/>
        <v>0</v>
      </c>
      <c r="G68" s="37">
        <f t="shared" si="9"/>
        <v>0</v>
      </c>
      <c r="H68" s="37">
        <f t="shared" si="9"/>
        <v>49</v>
      </c>
      <c r="I68" s="37">
        <f t="shared" si="9"/>
        <v>55</v>
      </c>
      <c r="J68" s="37">
        <f t="shared" si="9"/>
        <v>0</v>
      </c>
      <c r="K68" s="37">
        <f t="shared" si="9"/>
        <v>0</v>
      </c>
      <c r="L68" s="37">
        <f t="shared" si="9"/>
        <v>0</v>
      </c>
      <c r="M68" s="37">
        <f t="shared" si="9"/>
        <v>20</v>
      </c>
      <c r="N68" s="37">
        <f t="shared" si="9"/>
        <v>0</v>
      </c>
      <c r="O68" s="37">
        <f t="shared" si="9"/>
        <v>2</v>
      </c>
      <c r="P68" s="37">
        <f t="shared" si="9"/>
        <v>9</v>
      </c>
      <c r="Q68" s="37">
        <f t="shared" si="9"/>
        <v>3</v>
      </c>
    </row>
    <row r="69" spans="1:17" x14ac:dyDescent="0.25">
      <c r="A69" s="18" t="s">
        <v>161</v>
      </c>
      <c r="B69" s="37">
        <f>B66</f>
        <v>85</v>
      </c>
      <c r="C69" s="37">
        <f t="shared" ref="C69:Q69" si="10">C66</f>
        <v>94</v>
      </c>
      <c r="D69" s="37">
        <f t="shared" si="10"/>
        <v>9</v>
      </c>
      <c r="E69" s="37">
        <f t="shared" si="10"/>
        <v>1</v>
      </c>
      <c r="F69" s="37">
        <f t="shared" si="10"/>
        <v>0</v>
      </c>
      <c r="G69" s="37">
        <f t="shared" si="10"/>
        <v>0</v>
      </c>
      <c r="H69" s="37">
        <f t="shared" si="10"/>
        <v>49</v>
      </c>
      <c r="I69" s="37">
        <f t="shared" si="10"/>
        <v>55</v>
      </c>
      <c r="J69" s="37">
        <f t="shared" si="10"/>
        <v>0</v>
      </c>
      <c r="K69" s="37">
        <f t="shared" si="10"/>
        <v>0</v>
      </c>
      <c r="L69" s="37">
        <f t="shared" si="10"/>
        <v>0</v>
      </c>
      <c r="M69" s="37">
        <f t="shared" si="10"/>
        <v>20</v>
      </c>
      <c r="N69" s="37">
        <f t="shared" si="10"/>
        <v>0</v>
      </c>
      <c r="O69" s="37">
        <f t="shared" si="10"/>
        <v>2</v>
      </c>
      <c r="P69" s="37">
        <f t="shared" si="10"/>
        <v>9</v>
      </c>
      <c r="Q69" s="37">
        <f t="shared" si="10"/>
        <v>3</v>
      </c>
    </row>
    <row r="70" spans="1:17" ht="20.399999999999999" x14ac:dyDescent="0.35">
      <c r="A70" s="9" t="s">
        <v>37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/>
    </row>
    <row r="71" spans="1:17" x14ac:dyDescent="0.25">
      <c r="A71" s="16" t="s">
        <v>71</v>
      </c>
      <c r="B71" s="23">
        <v>84</v>
      </c>
      <c r="C71" s="23">
        <v>260</v>
      </c>
      <c r="D71" s="23">
        <v>190</v>
      </c>
      <c r="E71" s="23">
        <v>21</v>
      </c>
      <c r="F71" s="23">
        <v>8</v>
      </c>
      <c r="G71" s="23">
        <v>0</v>
      </c>
      <c r="H71" s="23">
        <v>75</v>
      </c>
      <c r="I71" s="23">
        <v>380</v>
      </c>
      <c r="J71" s="23">
        <v>0</v>
      </c>
      <c r="K71" s="23">
        <v>0</v>
      </c>
      <c r="L71" s="23">
        <v>0</v>
      </c>
      <c r="M71" s="23">
        <v>17</v>
      </c>
      <c r="N71" s="23">
        <v>0</v>
      </c>
      <c r="O71" s="23">
        <v>0</v>
      </c>
      <c r="P71" s="23">
        <v>0</v>
      </c>
      <c r="Q71" s="23">
        <v>6</v>
      </c>
    </row>
    <row r="72" spans="1:17" x14ac:dyDescent="0.25">
      <c r="A72" s="16" t="s">
        <v>72</v>
      </c>
      <c r="B72" s="17">
        <f>B71</f>
        <v>84</v>
      </c>
      <c r="C72" s="17">
        <f t="shared" ref="C72:Q72" si="11">C71</f>
        <v>260</v>
      </c>
      <c r="D72" s="17">
        <f t="shared" si="11"/>
        <v>190</v>
      </c>
      <c r="E72" s="17">
        <f t="shared" si="11"/>
        <v>21</v>
      </c>
      <c r="F72" s="17">
        <f t="shared" si="11"/>
        <v>8</v>
      </c>
      <c r="G72" s="17">
        <f t="shared" si="11"/>
        <v>0</v>
      </c>
      <c r="H72" s="17">
        <f t="shared" si="11"/>
        <v>75</v>
      </c>
      <c r="I72" s="17">
        <f t="shared" si="11"/>
        <v>380</v>
      </c>
      <c r="J72" s="17">
        <f t="shared" si="11"/>
        <v>0</v>
      </c>
      <c r="K72" s="17">
        <f t="shared" si="11"/>
        <v>0</v>
      </c>
      <c r="L72" s="17">
        <f t="shared" si="11"/>
        <v>0</v>
      </c>
      <c r="M72" s="17">
        <f t="shared" si="11"/>
        <v>17</v>
      </c>
      <c r="N72" s="17">
        <f t="shared" si="11"/>
        <v>0</v>
      </c>
      <c r="O72" s="17">
        <f t="shared" si="11"/>
        <v>0</v>
      </c>
      <c r="P72" s="17">
        <f t="shared" si="11"/>
        <v>0</v>
      </c>
      <c r="Q72" s="17">
        <f t="shared" si="11"/>
        <v>6</v>
      </c>
    </row>
    <row r="73" spans="1:17" x14ac:dyDescent="0.25">
      <c r="A73" s="18" t="s">
        <v>137</v>
      </c>
      <c r="B73" s="17">
        <f>B71</f>
        <v>84</v>
      </c>
      <c r="C73" s="17">
        <f t="shared" ref="C73:Q73" si="12">C71</f>
        <v>260</v>
      </c>
      <c r="D73" s="17">
        <f t="shared" si="12"/>
        <v>190</v>
      </c>
      <c r="E73" s="17">
        <f t="shared" si="12"/>
        <v>21</v>
      </c>
      <c r="F73" s="17">
        <f t="shared" si="12"/>
        <v>8</v>
      </c>
      <c r="G73" s="17">
        <f t="shared" si="12"/>
        <v>0</v>
      </c>
      <c r="H73" s="17">
        <f t="shared" si="12"/>
        <v>75</v>
      </c>
      <c r="I73" s="17">
        <f t="shared" si="12"/>
        <v>380</v>
      </c>
      <c r="J73" s="17">
        <f t="shared" si="12"/>
        <v>0</v>
      </c>
      <c r="K73" s="17">
        <f t="shared" si="12"/>
        <v>0</v>
      </c>
      <c r="L73" s="17">
        <f t="shared" si="12"/>
        <v>0</v>
      </c>
      <c r="M73" s="17">
        <f t="shared" si="12"/>
        <v>17</v>
      </c>
      <c r="N73" s="17">
        <f t="shared" si="12"/>
        <v>0</v>
      </c>
      <c r="O73" s="17">
        <f t="shared" si="12"/>
        <v>0</v>
      </c>
      <c r="P73" s="17">
        <f t="shared" si="12"/>
        <v>0</v>
      </c>
      <c r="Q73" s="29">
        <f t="shared" si="12"/>
        <v>6</v>
      </c>
    </row>
    <row r="74" spans="1:17" x14ac:dyDescent="0.25">
      <c r="A74" s="18" t="s">
        <v>136</v>
      </c>
      <c r="B74" s="17">
        <f>B71</f>
        <v>84</v>
      </c>
      <c r="C74" s="17">
        <f t="shared" ref="C74:Q74" si="13">C71</f>
        <v>260</v>
      </c>
      <c r="D74" s="17">
        <f t="shared" si="13"/>
        <v>190</v>
      </c>
      <c r="E74" s="17">
        <f t="shared" si="13"/>
        <v>21</v>
      </c>
      <c r="F74" s="17">
        <f t="shared" si="13"/>
        <v>8</v>
      </c>
      <c r="G74" s="17">
        <f t="shared" si="13"/>
        <v>0</v>
      </c>
      <c r="H74" s="17">
        <f t="shared" si="13"/>
        <v>75</v>
      </c>
      <c r="I74" s="17">
        <f t="shared" si="13"/>
        <v>380</v>
      </c>
      <c r="J74" s="17">
        <f t="shared" si="13"/>
        <v>0</v>
      </c>
      <c r="K74" s="17">
        <f t="shared" si="13"/>
        <v>0</v>
      </c>
      <c r="L74" s="17">
        <f t="shared" si="13"/>
        <v>0</v>
      </c>
      <c r="M74" s="17">
        <f t="shared" si="13"/>
        <v>17</v>
      </c>
      <c r="N74" s="17">
        <f t="shared" si="13"/>
        <v>0</v>
      </c>
      <c r="O74" s="17">
        <f t="shared" si="13"/>
        <v>0</v>
      </c>
      <c r="P74" s="17">
        <f t="shared" si="13"/>
        <v>0</v>
      </c>
      <c r="Q74" s="29">
        <f t="shared" si="13"/>
        <v>6</v>
      </c>
    </row>
    <row r="75" spans="1:17" ht="20.399999999999999" x14ac:dyDescent="0.35">
      <c r="A75" s="9" t="s">
        <v>21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3"/>
    </row>
    <row r="76" spans="1:17" x14ac:dyDescent="0.25">
      <c r="A76" s="16" t="s">
        <v>131</v>
      </c>
      <c r="B76" s="17">
        <f>B28</f>
        <v>50</v>
      </c>
      <c r="C76" s="17">
        <f t="shared" ref="C76:Q76" si="14">C28</f>
        <v>140</v>
      </c>
      <c r="D76" s="17">
        <f t="shared" si="14"/>
        <v>0</v>
      </c>
      <c r="E76" s="17">
        <f t="shared" si="14"/>
        <v>1</v>
      </c>
      <c r="F76" s="17">
        <f t="shared" si="14"/>
        <v>0</v>
      </c>
      <c r="G76" s="17">
        <f t="shared" si="14"/>
        <v>0</v>
      </c>
      <c r="H76" s="17">
        <f t="shared" si="14"/>
        <v>0</v>
      </c>
      <c r="I76" s="17">
        <f t="shared" si="14"/>
        <v>300</v>
      </c>
      <c r="J76" s="17">
        <f t="shared" si="14"/>
        <v>29</v>
      </c>
      <c r="K76" s="17">
        <f t="shared" si="14"/>
        <v>2</v>
      </c>
      <c r="L76" s="17">
        <f t="shared" si="14"/>
        <v>3</v>
      </c>
      <c r="M76" s="17">
        <f t="shared" si="14"/>
        <v>5</v>
      </c>
      <c r="N76" s="17">
        <f t="shared" si="14"/>
        <v>0</v>
      </c>
      <c r="O76" s="17">
        <f t="shared" si="14"/>
        <v>0</v>
      </c>
      <c r="P76" s="17">
        <f t="shared" si="14"/>
        <v>2</v>
      </c>
      <c r="Q76" s="17">
        <f t="shared" si="14"/>
        <v>10</v>
      </c>
    </row>
    <row r="77" spans="1:17" x14ac:dyDescent="0.25">
      <c r="A77" s="16" t="s">
        <v>109</v>
      </c>
      <c r="B77" s="17">
        <f>B28</f>
        <v>50</v>
      </c>
      <c r="C77" s="17">
        <f t="shared" ref="C77:Q77" si="15">C28</f>
        <v>140</v>
      </c>
      <c r="D77" s="17">
        <f t="shared" si="15"/>
        <v>0</v>
      </c>
      <c r="E77" s="17">
        <f t="shared" si="15"/>
        <v>1</v>
      </c>
      <c r="F77" s="17">
        <f t="shared" si="15"/>
        <v>0</v>
      </c>
      <c r="G77" s="17">
        <f t="shared" si="15"/>
        <v>0</v>
      </c>
      <c r="H77" s="17">
        <f t="shared" si="15"/>
        <v>0</v>
      </c>
      <c r="I77" s="17">
        <f t="shared" si="15"/>
        <v>300</v>
      </c>
      <c r="J77" s="17">
        <f t="shared" si="15"/>
        <v>29</v>
      </c>
      <c r="K77" s="17">
        <f t="shared" si="15"/>
        <v>2</v>
      </c>
      <c r="L77" s="17">
        <f t="shared" si="15"/>
        <v>3</v>
      </c>
      <c r="M77" s="17">
        <f t="shared" si="15"/>
        <v>5</v>
      </c>
      <c r="N77" s="17">
        <f t="shared" si="15"/>
        <v>0</v>
      </c>
      <c r="O77" s="17">
        <f t="shared" si="15"/>
        <v>0</v>
      </c>
      <c r="P77" s="17">
        <f t="shared" si="15"/>
        <v>2</v>
      </c>
      <c r="Q77" s="17">
        <f t="shared" si="15"/>
        <v>10</v>
      </c>
    </row>
    <row r="78" spans="1:17" x14ac:dyDescent="0.25">
      <c r="A78" s="16" t="s">
        <v>110</v>
      </c>
      <c r="B78" s="17">
        <f>B28</f>
        <v>50</v>
      </c>
      <c r="C78" s="17">
        <f t="shared" ref="C78:Q78" si="16">C28</f>
        <v>140</v>
      </c>
      <c r="D78" s="17">
        <f t="shared" si="16"/>
        <v>0</v>
      </c>
      <c r="E78" s="17">
        <f t="shared" si="16"/>
        <v>1</v>
      </c>
      <c r="F78" s="17">
        <f t="shared" si="16"/>
        <v>0</v>
      </c>
      <c r="G78" s="17">
        <f t="shared" si="16"/>
        <v>0</v>
      </c>
      <c r="H78" s="17">
        <f t="shared" si="16"/>
        <v>0</v>
      </c>
      <c r="I78" s="17">
        <f t="shared" si="16"/>
        <v>300</v>
      </c>
      <c r="J78" s="17">
        <f t="shared" si="16"/>
        <v>29</v>
      </c>
      <c r="K78" s="17">
        <f t="shared" si="16"/>
        <v>2</v>
      </c>
      <c r="L78" s="17">
        <f t="shared" si="16"/>
        <v>3</v>
      </c>
      <c r="M78" s="17">
        <f t="shared" si="16"/>
        <v>5</v>
      </c>
      <c r="N78" s="17">
        <f t="shared" si="16"/>
        <v>0</v>
      </c>
      <c r="O78" s="17">
        <f t="shared" si="16"/>
        <v>0</v>
      </c>
      <c r="P78" s="17">
        <f t="shared" si="16"/>
        <v>2</v>
      </c>
      <c r="Q78" s="17">
        <f t="shared" si="16"/>
        <v>10</v>
      </c>
    </row>
    <row r="79" spans="1:17" x14ac:dyDescent="0.25">
      <c r="A79" s="16" t="s">
        <v>111</v>
      </c>
      <c r="B79" s="17">
        <f>B28</f>
        <v>50</v>
      </c>
      <c r="C79" s="17">
        <f t="shared" ref="C79:M79" si="17">C28</f>
        <v>140</v>
      </c>
      <c r="D79" s="17">
        <f t="shared" si="17"/>
        <v>0</v>
      </c>
      <c r="E79" s="17">
        <f t="shared" si="17"/>
        <v>1</v>
      </c>
      <c r="F79" s="17">
        <f t="shared" si="17"/>
        <v>0</v>
      </c>
      <c r="G79" s="17">
        <f t="shared" si="17"/>
        <v>0</v>
      </c>
      <c r="H79" s="17">
        <f t="shared" si="17"/>
        <v>0</v>
      </c>
      <c r="I79" s="17">
        <f t="shared" si="17"/>
        <v>300</v>
      </c>
      <c r="J79" s="17">
        <f t="shared" si="17"/>
        <v>29</v>
      </c>
      <c r="K79" s="17">
        <f t="shared" si="17"/>
        <v>2</v>
      </c>
      <c r="L79" s="17">
        <f t="shared" si="17"/>
        <v>3</v>
      </c>
      <c r="M79" s="17">
        <f t="shared" si="17"/>
        <v>5</v>
      </c>
      <c r="N79" s="17">
        <v>0</v>
      </c>
      <c r="O79" s="17">
        <v>0</v>
      </c>
      <c r="P79" s="17">
        <v>3</v>
      </c>
      <c r="Q79" s="17">
        <v>17</v>
      </c>
    </row>
    <row r="80" spans="1:17" x14ac:dyDescent="0.25">
      <c r="A80" s="16" t="s">
        <v>139</v>
      </c>
      <c r="B80" s="23">
        <v>150</v>
      </c>
      <c r="C80" s="23">
        <v>381</v>
      </c>
      <c r="D80" s="23">
        <v>270</v>
      </c>
      <c r="E80" s="23">
        <v>30</v>
      </c>
      <c r="F80" s="23">
        <v>11.5</v>
      </c>
      <c r="G80" s="23">
        <v>1.81</v>
      </c>
      <c r="H80" s="23">
        <v>106</v>
      </c>
      <c r="I80" s="23">
        <v>100</v>
      </c>
      <c r="J80" s="23">
        <v>0</v>
      </c>
      <c r="K80" s="23">
        <v>0</v>
      </c>
      <c r="L80" s="23">
        <v>0</v>
      </c>
      <c r="M80" s="23">
        <v>25.8</v>
      </c>
      <c r="N80" s="23">
        <f>N28</f>
        <v>0</v>
      </c>
      <c r="O80" s="23">
        <f>O28</f>
        <v>0</v>
      </c>
      <c r="P80" s="23">
        <f>P28</f>
        <v>2</v>
      </c>
      <c r="Q80" s="23">
        <f>Q28</f>
        <v>10</v>
      </c>
    </row>
    <row r="81" spans="1:17" x14ac:dyDescent="0.25">
      <c r="A81" s="16" t="s">
        <v>148</v>
      </c>
      <c r="B81" s="22">
        <f>B80</f>
        <v>150</v>
      </c>
      <c r="C81" s="22">
        <f t="shared" ref="C81:Q81" si="18">C80</f>
        <v>381</v>
      </c>
      <c r="D81" s="22">
        <f t="shared" si="18"/>
        <v>270</v>
      </c>
      <c r="E81" s="22">
        <f t="shared" si="18"/>
        <v>30</v>
      </c>
      <c r="F81" s="22">
        <f t="shared" si="18"/>
        <v>11.5</v>
      </c>
      <c r="G81" s="22">
        <f t="shared" si="18"/>
        <v>1.81</v>
      </c>
      <c r="H81" s="22">
        <f t="shared" si="18"/>
        <v>106</v>
      </c>
      <c r="I81" s="22">
        <f t="shared" si="18"/>
        <v>100</v>
      </c>
      <c r="J81" s="22">
        <f t="shared" si="18"/>
        <v>0</v>
      </c>
      <c r="K81" s="22">
        <f t="shared" si="18"/>
        <v>0</v>
      </c>
      <c r="L81" s="22">
        <f t="shared" si="18"/>
        <v>0</v>
      </c>
      <c r="M81" s="22">
        <f t="shared" si="18"/>
        <v>25.8</v>
      </c>
      <c r="N81" s="22">
        <f t="shared" si="18"/>
        <v>0</v>
      </c>
      <c r="O81" s="22">
        <f t="shared" si="18"/>
        <v>0</v>
      </c>
      <c r="P81" s="22">
        <f t="shared" si="18"/>
        <v>2</v>
      </c>
      <c r="Q81" s="22">
        <f t="shared" si="18"/>
        <v>10</v>
      </c>
    </row>
    <row r="82" spans="1:17" x14ac:dyDescent="0.25">
      <c r="A82" s="16" t="s">
        <v>112</v>
      </c>
      <c r="B82" s="23">
        <v>100</v>
      </c>
      <c r="C82" s="23">
        <v>135</v>
      </c>
      <c r="D82" s="23">
        <v>68</v>
      </c>
      <c r="E82" s="23">
        <v>7.59</v>
      </c>
      <c r="F82" s="23">
        <v>1.76</v>
      </c>
      <c r="G82" s="23">
        <v>0</v>
      </c>
      <c r="H82" s="23">
        <v>47</v>
      </c>
      <c r="I82" s="23">
        <v>53</v>
      </c>
      <c r="J82" s="23">
        <v>0</v>
      </c>
      <c r="K82" s="23">
        <v>0</v>
      </c>
      <c r="L82" s="23">
        <v>0</v>
      </c>
      <c r="M82" s="23">
        <v>15.6</v>
      </c>
      <c r="N82" s="23">
        <v>1</v>
      </c>
      <c r="O82" s="23">
        <v>1</v>
      </c>
      <c r="P82" s="23">
        <v>0.9</v>
      </c>
      <c r="Q82" s="23">
        <v>2.78</v>
      </c>
    </row>
    <row r="83" spans="1:17" x14ac:dyDescent="0.25">
      <c r="A83" s="18" t="s">
        <v>113</v>
      </c>
      <c r="B83" s="17">
        <f>B29</f>
        <v>79</v>
      </c>
      <c r="C83" s="17">
        <f t="shared" ref="C83:Q83" si="19">C29</f>
        <v>200</v>
      </c>
      <c r="D83" s="17">
        <f t="shared" si="19"/>
        <v>0</v>
      </c>
      <c r="E83" s="17">
        <f t="shared" si="19"/>
        <v>2</v>
      </c>
      <c r="F83" s="17">
        <f t="shared" si="19"/>
        <v>1</v>
      </c>
      <c r="G83" s="17">
        <f t="shared" si="19"/>
        <v>0</v>
      </c>
      <c r="H83" s="17">
        <f t="shared" si="19"/>
        <v>0</v>
      </c>
      <c r="I83" s="17">
        <f t="shared" si="19"/>
        <v>530</v>
      </c>
      <c r="J83" s="17">
        <f t="shared" si="19"/>
        <v>41</v>
      </c>
      <c r="K83" s="17">
        <f t="shared" si="19"/>
        <v>2</v>
      </c>
      <c r="L83" s="17">
        <f t="shared" si="19"/>
        <v>2</v>
      </c>
      <c r="M83" s="17">
        <f t="shared" si="19"/>
        <v>7</v>
      </c>
      <c r="N83" s="17">
        <f t="shared" si="19"/>
        <v>0</v>
      </c>
      <c r="O83" s="17">
        <f t="shared" si="19"/>
        <v>0</v>
      </c>
      <c r="P83" s="17">
        <f t="shared" si="19"/>
        <v>3</v>
      </c>
      <c r="Q83" s="17">
        <f t="shared" si="19"/>
        <v>18</v>
      </c>
    </row>
    <row r="84" spans="1:17" x14ac:dyDescent="0.25">
      <c r="A84" s="18" t="s">
        <v>114</v>
      </c>
      <c r="B84" s="23">
        <v>120</v>
      </c>
      <c r="C84" s="23">
        <v>280</v>
      </c>
      <c r="D84" s="23">
        <v>180</v>
      </c>
      <c r="E84" s="23">
        <v>20</v>
      </c>
      <c r="F84" s="23">
        <v>8</v>
      </c>
      <c r="G84" s="23">
        <v>0</v>
      </c>
      <c r="H84" s="23">
        <v>75</v>
      </c>
      <c r="I84" s="23">
        <v>70</v>
      </c>
      <c r="J84" s="23">
        <v>0</v>
      </c>
      <c r="K84" s="23">
        <v>0</v>
      </c>
      <c r="L84" s="23">
        <v>0</v>
      </c>
      <c r="M84" s="23">
        <v>22</v>
      </c>
      <c r="N84" s="23">
        <v>0</v>
      </c>
      <c r="O84" s="23">
        <v>0</v>
      </c>
      <c r="P84" s="23">
        <v>0.63</v>
      </c>
      <c r="Q84" s="23">
        <v>10</v>
      </c>
    </row>
    <row r="85" spans="1:17" ht="20.399999999999999" x14ac:dyDescent="0.35">
      <c r="A85" s="9" t="s">
        <v>22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3"/>
    </row>
    <row r="86" spans="1:17" x14ac:dyDescent="0.25">
      <c r="A86" s="16" t="s">
        <v>165</v>
      </c>
      <c r="B86" s="22">
        <f t="shared" ref="B86:Q86" si="20">B96</f>
        <v>104</v>
      </c>
      <c r="C86" s="22">
        <f t="shared" si="20"/>
        <v>310</v>
      </c>
      <c r="D86" s="22">
        <f t="shared" si="20"/>
        <v>70</v>
      </c>
      <c r="E86" s="22">
        <f t="shared" si="20"/>
        <v>8</v>
      </c>
      <c r="F86" s="22">
        <f t="shared" si="20"/>
        <v>2.5</v>
      </c>
      <c r="G86" s="22">
        <f t="shared" si="20"/>
        <v>0</v>
      </c>
      <c r="H86" s="22">
        <f t="shared" si="20"/>
        <v>0</v>
      </c>
      <c r="I86" s="22">
        <f t="shared" si="20"/>
        <v>670</v>
      </c>
      <c r="J86" s="22">
        <f t="shared" si="20"/>
        <v>52</v>
      </c>
      <c r="K86" s="22">
        <f t="shared" si="20"/>
        <v>5</v>
      </c>
      <c r="L86" s="22">
        <f t="shared" si="20"/>
        <v>1</v>
      </c>
      <c r="M86" s="22">
        <f t="shared" si="20"/>
        <v>9</v>
      </c>
      <c r="N86" s="22">
        <f t="shared" si="20"/>
        <v>0</v>
      </c>
      <c r="O86" s="22">
        <f t="shared" si="20"/>
        <v>0</v>
      </c>
      <c r="P86" s="22">
        <f t="shared" si="20"/>
        <v>20</v>
      </c>
      <c r="Q86" s="22">
        <f t="shared" si="20"/>
        <v>0.2</v>
      </c>
    </row>
    <row r="87" spans="1:17" x14ac:dyDescent="0.25">
      <c r="A87" s="16" t="s">
        <v>116</v>
      </c>
      <c r="B87" s="17">
        <f t="shared" ref="B87:Q87" si="21">B96</f>
        <v>104</v>
      </c>
      <c r="C87" s="17">
        <f t="shared" si="21"/>
        <v>310</v>
      </c>
      <c r="D87" s="17">
        <f t="shared" si="21"/>
        <v>70</v>
      </c>
      <c r="E87" s="17">
        <f t="shared" si="21"/>
        <v>8</v>
      </c>
      <c r="F87" s="17">
        <f t="shared" si="21"/>
        <v>2.5</v>
      </c>
      <c r="G87" s="17">
        <f t="shared" si="21"/>
        <v>0</v>
      </c>
      <c r="H87" s="17">
        <f t="shared" si="21"/>
        <v>0</v>
      </c>
      <c r="I87" s="17">
        <f t="shared" si="21"/>
        <v>670</v>
      </c>
      <c r="J87" s="17">
        <f t="shared" si="21"/>
        <v>52</v>
      </c>
      <c r="K87" s="17">
        <f t="shared" si="21"/>
        <v>5</v>
      </c>
      <c r="L87" s="17">
        <f t="shared" si="21"/>
        <v>1</v>
      </c>
      <c r="M87" s="17">
        <f t="shared" si="21"/>
        <v>9</v>
      </c>
      <c r="N87" s="17">
        <f t="shared" si="21"/>
        <v>0</v>
      </c>
      <c r="O87" s="17">
        <f t="shared" si="21"/>
        <v>0</v>
      </c>
      <c r="P87" s="17">
        <f t="shared" si="21"/>
        <v>20</v>
      </c>
      <c r="Q87" s="17">
        <f t="shared" si="21"/>
        <v>0.2</v>
      </c>
    </row>
    <row r="88" spans="1:17" x14ac:dyDescent="0.25">
      <c r="A88" s="16" t="s">
        <v>117</v>
      </c>
      <c r="B88" s="17">
        <f t="shared" ref="B88:Q88" si="22">B96</f>
        <v>104</v>
      </c>
      <c r="C88" s="17">
        <f t="shared" si="22"/>
        <v>310</v>
      </c>
      <c r="D88" s="17">
        <f t="shared" si="22"/>
        <v>70</v>
      </c>
      <c r="E88" s="17">
        <f t="shared" si="22"/>
        <v>8</v>
      </c>
      <c r="F88" s="17">
        <f t="shared" si="22"/>
        <v>2.5</v>
      </c>
      <c r="G88" s="17">
        <f t="shared" si="22"/>
        <v>0</v>
      </c>
      <c r="H88" s="17">
        <f t="shared" si="22"/>
        <v>0</v>
      </c>
      <c r="I88" s="17">
        <f t="shared" si="22"/>
        <v>670</v>
      </c>
      <c r="J88" s="17">
        <f t="shared" si="22"/>
        <v>52</v>
      </c>
      <c r="K88" s="17">
        <f t="shared" si="22"/>
        <v>5</v>
      </c>
      <c r="L88" s="17">
        <f t="shared" si="22"/>
        <v>1</v>
      </c>
      <c r="M88" s="17">
        <f t="shared" si="22"/>
        <v>9</v>
      </c>
      <c r="N88" s="17">
        <f t="shared" si="22"/>
        <v>0</v>
      </c>
      <c r="O88" s="17">
        <f t="shared" si="22"/>
        <v>0</v>
      </c>
      <c r="P88" s="17">
        <f t="shared" si="22"/>
        <v>20</v>
      </c>
      <c r="Q88" s="17">
        <f t="shared" si="22"/>
        <v>0.2</v>
      </c>
    </row>
    <row r="89" spans="1:17" x14ac:dyDescent="0.25">
      <c r="A89" s="16" t="s">
        <v>118</v>
      </c>
      <c r="B89" s="17">
        <f t="shared" ref="B89:Q89" si="23">B96</f>
        <v>104</v>
      </c>
      <c r="C89" s="17">
        <f t="shared" si="23"/>
        <v>310</v>
      </c>
      <c r="D89" s="17">
        <f t="shared" si="23"/>
        <v>70</v>
      </c>
      <c r="E89" s="17">
        <f t="shared" si="23"/>
        <v>8</v>
      </c>
      <c r="F89" s="17">
        <f t="shared" si="23"/>
        <v>2.5</v>
      </c>
      <c r="G89" s="17">
        <f t="shared" si="23"/>
        <v>0</v>
      </c>
      <c r="H89" s="17">
        <f t="shared" si="23"/>
        <v>0</v>
      </c>
      <c r="I89" s="17">
        <f t="shared" si="23"/>
        <v>670</v>
      </c>
      <c r="J89" s="17">
        <f t="shared" si="23"/>
        <v>52</v>
      </c>
      <c r="K89" s="17">
        <f t="shared" si="23"/>
        <v>5</v>
      </c>
      <c r="L89" s="17">
        <f t="shared" si="23"/>
        <v>1</v>
      </c>
      <c r="M89" s="17">
        <f t="shared" si="23"/>
        <v>9</v>
      </c>
      <c r="N89" s="17">
        <f t="shared" si="23"/>
        <v>0</v>
      </c>
      <c r="O89" s="17">
        <f t="shared" si="23"/>
        <v>0</v>
      </c>
      <c r="P89" s="17">
        <f t="shared" si="23"/>
        <v>20</v>
      </c>
      <c r="Q89" s="17">
        <f t="shared" si="23"/>
        <v>0.2</v>
      </c>
    </row>
    <row r="90" spans="1:17" x14ac:dyDescent="0.25">
      <c r="A90" s="16" t="s">
        <v>119</v>
      </c>
      <c r="B90" s="17">
        <f t="shared" ref="B90:Q90" si="24">B96</f>
        <v>104</v>
      </c>
      <c r="C90" s="17">
        <f t="shared" si="24"/>
        <v>310</v>
      </c>
      <c r="D90" s="17">
        <f t="shared" si="24"/>
        <v>70</v>
      </c>
      <c r="E90" s="17">
        <f t="shared" si="24"/>
        <v>8</v>
      </c>
      <c r="F90" s="17">
        <f t="shared" si="24"/>
        <v>2.5</v>
      </c>
      <c r="G90" s="17">
        <f t="shared" si="24"/>
        <v>0</v>
      </c>
      <c r="H90" s="17">
        <f t="shared" si="24"/>
        <v>0</v>
      </c>
      <c r="I90" s="17">
        <f t="shared" si="24"/>
        <v>670</v>
      </c>
      <c r="J90" s="17">
        <f t="shared" si="24"/>
        <v>52</v>
      </c>
      <c r="K90" s="17">
        <f t="shared" si="24"/>
        <v>5</v>
      </c>
      <c r="L90" s="17">
        <f t="shared" si="24"/>
        <v>1</v>
      </c>
      <c r="M90" s="17">
        <f t="shared" si="24"/>
        <v>9</v>
      </c>
      <c r="N90" s="17">
        <f t="shared" si="24"/>
        <v>0</v>
      </c>
      <c r="O90" s="17">
        <f t="shared" si="24"/>
        <v>0</v>
      </c>
      <c r="P90" s="17">
        <f t="shared" si="24"/>
        <v>20</v>
      </c>
      <c r="Q90" s="17">
        <f t="shared" si="24"/>
        <v>0.2</v>
      </c>
    </row>
    <row r="91" spans="1:17" x14ac:dyDescent="0.25">
      <c r="A91" s="18" t="s">
        <v>120</v>
      </c>
      <c r="B91" s="17">
        <f t="shared" ref="B91:Q91" si="25">B96</f>
        <v>104</v>
      </c>
      <c r="C91" s="17">
        <f t="shared" si="25"/>
        <v>310</v>
      </c>
      <c r="D91" s="17">
        <f t="shared" si="25"/>
        <v>70</v>
      </c>
      <c r="E91" s="17">
        <f t="shared" si="25"/>
        <v>8</v>
      </c>
      <c r="F91" s="17">
        <f t="shared" si="25"/>
        <v>2.5</v>
      </c>
      <c r="G91" s="17">
        <f t="shared" si="25"/>
        <v>0</v>
      </c>
      <c r="H91" s="17">
        <f t="shared" si="25"/>
        <v>0</v>
      </c>
      <c r="I91" s="17">
        <f t="shared" si="25"/>
        <v>670</v>
      </c>
      <c r="J91" s="17">
        <f t="shared" si="25"/>
        <v>52</v>
      </c>
      <c r="K91" s="17">
        <f t="shared" si="25"/>
        <v>5</v>
      </c>
      <c r="L91" s="17">
        <f t="shared" si="25"/>
        <v>1</v>
      </c>
      <c r="M91" s="17">
        <f t="shared" si="25"/>
        <v>9</v>
      </c>
      <c r="N91" s="17">
        <f t="shared" si="25"/>
        <v>0</v>
      </c>
      <c r="O91" s="17">
        <f t="shared" si="25"/>
        <v>0</v>
      </c>
      <c r="P91" s="17">
        <f t="shared" si="25"/>
        <v>20</v>
      </c>
      <c r="Q91" s="17">
        <f t="shared" si="25"/>
        <v>0.2</v>
      </c>
    </row>
    <row r="92" spans="1:17" x14ac:dyDescent="0.25">
      <c r="A92" s="18" t="s">
        <v>170</v>
      </c>
      <c r="B92" s="17">
        <f t="shared" ref="B92:Q92" si="26">B96</f>
        <v>104</v>
      </c>
      <c r="C92" s="17">
        <f t="shared" si="26"/>
        <v>310</v>
      </c>
      <c r="D92" s="17">
        <f t="shared" si="26"/>
        <v>70</v>
      </c>
      <c r="E92" s="17">
        <f t="shared" si="26"/>
        <v>8</v>
      </c>
      <c r="F92" s="17">
        <f t="shared" si="26"/>
        <v>2.5</v>
      </c>
      <c r="G92" s="17">
        <f t="shared" si="26"/>
        <v>0</v>
      </c>
      <c r="H92" s="17">
        <f t="shared" si="26"/>
        <v>0</v>
      </c>
      <c r="I92" s="17">
        <f t="shared" si="26"/>
        <v>670</v>
      </c>
      <c r="J92" s="17">
        <f t="shared" si="26"/>
        <v>52</v>
      </c>
      <c r="K92" s="17">
        <f t="shared" si="26"/>
        <v>5</v>
      </c>
      <c r="L92" s="17">
        <f t="shared" si="26"/>
        <v>1</v>
      </c>
      <c r="M92" s="17">
        <f t="shared" si="26"/>
        <v>9</v>
      </c>
      <c r="N92" s="17">
        <f t="shared" si="26"/>
        <v>0</v>
      </c>
      <c r="O92" s="17">
        <f t="shared" si="26"/>
        <v>0</v>
      </c>
      <c r="P92" s="17">
        <f t="shared" si="26"/>
        <v>20</v>
      </c>
      <c r="Q92" s="17">
        <f t="shared" si="26"/>
        <v>0.2</v>
      </c>
    </row>
    <row r="93" spans="1:17" x14ac:dyDescent="0.25">
      <c r="A93" s="18" t="s">
        <v>169</v>
      </c>
      <c r="B93" s="17">
        <f t="shared" ref="B93:Q93" si="27">B96</f>
        <v>104</v>
      </c>
      <c r="C93" s="17">
        <f t="shared" si="27"/>
        <v>310</v>
      </c>
      <c r="D93" s="17">
        <f t="shared" si="27"/>
        <v>70</v>
      </c>
      <c r="E93" s="17">
        <f t="shared" si="27"/>
        <v>8</v>
      </c>
      <c r="F93" s="17">
        <f t="shared" si="27"/>
        <v>2.5</v>
      </c>
      <c r="G93" s="17">
        <f t="shared" si="27"/>
        <v>0</v>
      </c>
      <c r="H93" s="17">
        <f t="shared" si="27"/>
        <v>0</v>
      </c>
      <c r="I93" s="17">
        <f t="shared" si="27"/>
        <v>670</v>
      </c>
      <c r="J93" s="17">
        <f t="shared" si="27"/>
        <v>52</v>
      </c>
      <c r="K93" s="17">
        <f t="shared" si="27"/>
        <v>5</v>
      </c>
      <c r="L93" s="17">
        <f t="shared" si="27"/>
        <v>1</v>
      </c>
      <c r="M93" s="17">
        <f t="shared" si="27"/>
        <v>9</v>
      </c>
      <c r="N93" s="17">
        <f t="shared" si="27"/>
        <v>0</v>
      </c>
      <c r="O93" s="17">
        <f t="shared" si="27"/>
        <v>0</v>
      </c>
      <c r="P93" s="17">
        <f t="shared" si="27"/>
        <v>20</v>
      </c>
      <c r="Q93" s="17">
        <f t="shared" si="27"/>
        <v>0.2</v>
      </c>
    </row>
    <row r="94" spans="1:17" x14ac:dyDescent="0.25">
      <c r="A94" s="18" t="s">
        <v>140</v>
      </c>
      <c r="B94" s="17">
        <f t="shared" ref="B94:Q94" si="28">B97</f>
        <v>104</v>
      </c>
      <c r="C94" s="17">
        <f t="shared" si="28"/>
        <v>310</v>
      </c>
      <c r="D94" s="17">
        <f t="shared" si="28"/>
        <v>70</v>
      </c>
      <c r="E94" s="17">
        <f t="shared" si="28"/>
        <v>8</v>
      </c>
      <c r="F94" s="17">
        <f t="shared" si="28"/>
        <v>2.5</v>
      </c>
      <c r="G94" s="17">
        <f t="shared" si="28"/>
        <v>0</v>
      </c>
      <c r="H94" s="17">
        <f t="shared" si="28"/>
        <v>0</v>
      </c>
      <c r="I94" s="17">
        <f t="shared" si="28"/>
        <v>670</v>
      </c>
      <c r="J94" s="17">
        <f t="shared" si="28"/>
        <v>52</v>
      </c>
      <c r="K94" s="17">
        <f t="shared" si="28"/>
        <v>5</v>
      </c>
      <c r="L94" s="17">
        <f t="shared" si="28"/>
        <v>1</v>
      </c>
      <c r="M94" s="17">
        <f t="shared" si="28"/>
        <v>9</v>
      </c>
      <c r="N94" s="17">
        <f t="shared" si="28"/>
        <v>0</v>
      </c>
      <c r="O94" s="17">
        <f t="shared" si="28"/>
        <v>0</v>
      </c>
      <c r="P94" s="17">
        <f t="shared" si="28"/>
        <v>20</v>
      </c>
      <c r="Q94" s="29">
        <f t="shared" si="28"/>
        <v>0.2</v>
      </c>
    </row>
    <row r="95" spans="1:17" ht="20.399999999999999" x14ac:dyDescent="0.35">
      <c r="A95" s="9" t="s">
        <v>180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3"/>
    </row>
    <row r="96" spans="1:17" x14ac:dyDescent="0.25">
      <c r="A96" s="18" t="s">
        <v>42</v>
      </c>
      <c r="B96" s="23">
        <v>104</v>
      </c>
      <c r="C96" s="23">
        <v>310</v>
      </c>
      <c r="D96" s="23">
        <v>70</v>
      </c>
      <c r="E96" s="23">
        <v>8</v>
      </c>
      <c r="F96" s="23">
        <v>2.5</v>
      </c>
      <c r="G96" s="23">
        <v>0</v>
      </c>
      <c r="H96" s="23">
        <v>0</v>
      </c>
      <c r="I96" s="23">
        <v>670</v>
      </c>
      <c r="J96" s="23">
        <v>52</v>
      </c>
      <c r="K96" s="23">
        <v>5</v>
      </c>
      <c r="L96" s="23">
        <v>1</v>
      </c>
      <c r="M96" s="23">
        <v>9</v>
      </c>
      <c r="N96" s="23">
        <v>0</v>
      </c>
      <c r="O96" s="23">
        <v>0</v>
      </c>
      <c r="P96" s="23">
        <v>20</v>
      </c>
      <c r="Q96" s="23">
        <v>0.2</v>
      </c>
    </row>
    <row r="97" spans="1:17" x14ac:dyDescent="0.25">
      <c r="A97" s="18" t="s">
        <v>181</v>
      </c>
      <c r="B97" s="27">
        <f t="shared" ref="B97:Q97" si="29">B96</f>
        <v>104</v>
      </c>
      <c r="C97" s="27">
        <f t="shared" si="29"/>
        <v>310</v>
      </c>
      <c r="D97" s="27">
        <f t="shared" si="29"/>
        <v>70</v>
      </c>
      <c r="E97" s="27">
        <f t="shared" si="29"/>
        <v>8</v>
      </c>
      <c r="F97" s="27">
        <f t="shared" si="29"/>
        <v>2.5</v>
      </c>
      <c r="G97" s="27">
        <f t="shared" si="29"/>
        <v>0</v>
      </c>
      <c r="H97" s="27">
        <f t="shared" si="29"/>
        <v>0</v>
      </c>
      <c r="I97" s="27">
        <f t="shared" si="29"/>
        <v>670</v>
      </c>
      <c r="J97" s="27">
        <f t="shared" si="29"/>
        <v>52</v>
      </c>
      <c r="K97" s="27">
        <f t="shared" si="29"/>
        <v>5</v>
      </c>
      <c r="L97" s="27">
        <f t="shared" si="29"/>
        <v>1</v>
      </c>
      <c r="M97" s="27">
        <f t="shared" si="29"/>
        <v>9</v>
      </c>
      <c r="N97" s="27">
        <f t="shared" si="29"/>
        <v>0</v>
      </c>
      <c r="O97" s="27">
        <f t="shared" si="29"/>
        <v>0</v>
      </c>
      <c r="P97" s="27">
        <f t="shared" si="29"/>
        <v>20</v>
      </c>
      <c r="Q97" s="27">
        <f t="shared" si="29"/>
        <v>0.2</v>
      </c>
    </row>
    <row r="98" spans="1:17" x14ac:dyDescent="0.25">
      <c r="A98" s="18" t="s">
        <v>134</v>
      </c>
      <c r="B98" s="22">
        <f t="shared" ref="B98:Q99" si="30">B96</f>
        <v>104</v>
      </c>
      <c r="C98" s="22">
        <f t="shared" si="30"/>
        <v>310</v>
      </c>
      <c r="D98" s="22">
        <f t="shared" si="30"/>
        <v>70</v>
      </c>
      <c r="E98" s="22">
        <f t="shared" si="30"/>
        <v>8</v>
      </c>
      <c r="F98" s="22">
        <f t="shared" si="30"/>
        <v>2.5</v>
      </c>
      <c r="G98" s="22">
        <f t="shared" si="30"/>
        <v>0</v>
      </c>
      <c r="H98" s="22">
        <f t="shared" si="30"/>
        <v>0</v>
      </c>
      <c r="I98" s="22">
        <f t="shared" si="30"/>
        <v>670</v>
      </c>
      <c r="J98" s="22">
        <f t="shared" si="30"/>
        <v>52</v>
      </c>
      <c r="K98" s="22">
        <f t="shared" si="30"/>
        <v>5</v>
      </c>
      <c r="L98" s="22">
        <f t="shared" si="30"/>
        <v>1</v>
      </c>
      <c r="M98" s="22">
        <f t="shared" si="30"/>
        <v>9</v>
      </c>
      <c r="N98" s="22">
        <f t="shared" si="30"/>
        <v>0</v>
      </c>
      <c r="O98" s="22">
        <f t="shared" si="30"/>
        <v>0</v>
      </c>
      <c r="P98" s="22">
        <f t="shared" si="30"/>
        <v>20</v>
      </c>
      <c r="Q98" s="22">
        <f t="shared" si="30"/>
        <v>0.2</v>
      </c>
    </row>
    <row r="99" spans="1:17" x14ac:dyDescent="0.25">
      <c r="A99" s="18" t="s">
        <v>182</v>
      </c>
      <c r="B99" s="22">
        <f t="shared" si="30"/>
        <v>104</v>
      </c>
      <c r="C99" s="22">
        <f t="shared" si="30"/>
        <v>310</v>
      </c>
      <c r="D99" s="22">
        <f t="shared" si="30"/>
        <v>70</v>
      </c>
      <c r="E99" s="22">
        <f t="shared" si="30"/>
        <v>8</v>
      </c>
      <c r="F99" s="22">
        <f t="shared" si="30"/>
        <v>2.5</v>
      </c>
      <c r="G99" s="22">
        <f t="shared" si="30"/>
        <v>0</v>
      </c>
      <c r="H99" s="22">
        <f t="shared" si="30"/>
        <v>0</v>
      </c>
      <c r="I99" s="22">
        <f t="shared" si="30"/>
        <v>670</v>
      </c>
      <c r="J99" s="22">
        <f t="shared" si="30"/>
        <v>52</v>
      </c>
      <c r="K99" s="22">
        <f t="shared" si="30"/>
        <v>5</v>
      </c>
      <c r="L99" s="22">
        <f t="shared" si="30"/>
        <v>1</v>
      </c>
      <c r="M99" s="22">
        <f t="shared" si="30"/>
        <v>9</v>
      </c>
      <c r="N99" s="22">
        <f t="shared" si="30"/>
        <v>0</v>
      </c>
      <c r="O99" s="22">
        <f t="shared" si="30"/>
        <v>0</v>
      </c>
      <c r="P99" s="22">
        <f t="shared" si="30"/>
        <v>20</v>
      </c>
      <c r="Q99" s="22">
        <f t="shared" si="30"/>
        <v>0.2</v>
      </c>
    </row>
    <row r="100" spans="1:17" x14ac:dyDescent="0.25">
      <c r="A100" s="18" t="s">
        <v>108</v>
      </c>
      <c r="B100" s="22">
        <f t="shared" ref="B100:Q100" si="31">B96</f>
        <v>104</v>
      </c>
      <c r="C100" s="22">
        <f t="shared" si="31"/>
        <v>310</v>
      </c>
      <c r="D100" s="22">
        <f t="shared" si="31"/>
        <v>70</v>
      </c>
      <c r="E100" s="22">
        <f t="shared" si="31"/>
        <v>8</v>
      </c>
      <c r="F100" s="22">
        <f t="shared" si="31"/>
        <v>2.5</v>
      </c>
      <c r="G100" s="22">
        <f t="shared" si="31"/>
        <v>0</v>
      </c>
      <c r="H100" s="22">
        <f t="shared" si="31"/>
        <v>0</v>
      </c>
      <c r="I100" s="22">
        <f t="shared" si="31"/>
        <v>670</v>
      </c>
      <c r="J100" s="22">
        <f t="shared" si="31"/>
        <v>52</v>
      </c>
      <c r="K100" s="22">
        <f t="shared" si="31"/>
        <v>5</v>
      </c>
      <c r="L100" s="22">
        <f t="shared" si="31"/>
        <v>1</v>
      </c>
      <c r="M100" s="22">
        <f t="shared" si="31"/>
        <v>9</v>
      </c>
      <c r="N100" s="22">
        <f t="shared" si="31"/>
        <v>0</v>
      </c>
      <c r="O100" s="22">
        <f t="shared" si="31"/>
        <v>0</v>
      </c>
      <c r="P100" s="22">
        <f t="shared" si="31"/>
        <v>20</v>
      </c>
      <c r="Q100" s="22">
        <f t="shared" si="31"/>
        <v>0.2</v>
      </c>
    </row>
    <row r="101" spans="1:17" ht="20.399999999999999" x14ac:dyDescent="0.35">
      <c r="A101" s="9" t="s">
        <v>20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3"/>
    </row>
    <row r="102" spans="1:17" x14ac:dyDescent="0.25">
      <c r="A102" s="16" t="s">
        <v>127</v>
      </c>
      <c r="B102" s="17">
        <f>B82*2</f>
        <v>200</v>
      </c>
      <c r="C102" s="17">
        <f t="shared" ref="C102:Q102" si="32">C82*2</f>
        <v>270</v>
      </c>
      <c r="D102" s="17">
        <f t="shared" si="32"/>
        <v>136</v>
      </c>
      <c r="E102" s="17">
        <f t="shared" si="32"/>
        <v>15.18</v>
      </c>
      <c r="F102" s="17">
        <f t="shared" si="32"/>
        <v>3.52</v>
      </c>
      <c r="G102" s="17">
        <f t="shared" si="32"/>
        <v>0</v>
      </c>
      <c r="H102" s="17">
        <f t="shared" si="32"/>
        <v>94</v>
      </c>
      <c r="I102" s="17">
        <f t="shared" si="32"/>
        <v>106</v>
      </c>
      <c r="J102" s="17">
        <f t="shared" si="32"/>
        <v>0</v>
      </c>
      <c r="K102" s="17">
        <f t="shared" si="32"/>
        <v>0</v>
      </c>
      <c r="L102" s="17">
        <f t="shared" si="32"/>
        <v>0</v>
      </c>
      <c r="M102" s="17">
        <f t="shared" si="32"/>
        <v>31.2</v>
      </c>
      <c r="N102" s="17">
        <f t="shared" si="32"/>
        <v>2</v>
      </c>
      <c r="O102" s="17">
        <f t="shared" si="32"/>
        <v>2</v>
      </c>
      <c r="P102" s="17">
        <f t="shared" si="32"/>
        <v>1.8</v>
      </c>
      <c r="Q102" s="17">
        <f t="shared" si="32"/>
        <v>5.56</v>
      </c>
    </row>
    <row r="103" spans="1:17" x14ac:dyDescent="0.25">
      <c r="A103" s="16" t="s">
        <v>128</v>
      </c>
      <c r="B103" s="17">
        <f>B82*3</f>
        <v>300</v>
      </c>
      <c r="C103" s="17">
        <f t="shared" ref="C103:Q103" si="33">C82*3</f>
        <v>405</v>
      </c>
      <c r="D103" s="17">
        <f t="shared" si="33"/>
        <v>204</v>
      </c>
      <c r="E103" s="17">
        <f t="shared" si="33"/>
        <v>22.77</v>
      </c>
      <c r="F103" s="17">
        <f t="shared" si="33"/>
        <v>5.28</v>
      </c>
      <c r="G103" s="17">
        <f t="shared" si="33"/>
        <v>0</v>
      </c>
      <c r="H103" s="17">
        <f t="shared" si="33"/>
        <v>141</v>
      </c>
      <c r="I103" s="17">
        <f t="shared" si="33"/>
        <v>159</v>
      </c>
      <c r="J103" s="17">
        <f t="shared" si="33"/>
        <v>0</v>
      </c>
      <c r="K103" s="17">
        <f t="shared" si="33"/>
        <v>0</v>
      </c>
      <c r="L103" s="17">
        <f t="shared" si="33"/>
        <v>0</v>
      </c>
      <c r="M103" s="17">
        <f t="shared" si="33"/>
        <v>46.8</v>
      </c>
      <c r="N103" s="17">
        <f t="shared" si="33"/>
        <v>3</v>
      </c>
      <c r="O103" s="17">
        <f t="shared" si="33"/>
        <v>3</v>
      </c>
      <c r="P103" s="17">
        <f t="shared" si="33"/>
        <v>2.7</v>
      </c>
      <c r="Q103" s="17">
        <f t="shared" si="33"/>
        <v>8.34</v>
      </c>
    </row>
    <row r="104" spans="1:17" ht="20.399999999999999" x14ac:dyDescent="0.35">
      <c r="A104" s="9" t="s">
        <v>19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3"/>
    </row>
    <row r="105" spans="1:17" x14ac:dyDescent="0.25">
      <c r="A105" s="16" t="s">
        <v>73</v>
      </c>
      <c r="B105" s="23">
        <v>120</v>
      </c>
      <c r="C105" s="23">
        <v>140</v>
      </c>
      <c r="D105" s="23">
        <v>10</v>
      </c>
      <c r="E105" s="23">
        <v>1</v>
      </c>
      <c r="F105" s="23">
        <v>0</v>
      </c>
      <c r="G105" s="23">
        <v>0</v>
      </c>
      <c r="H105" s="23">
        <v>35</v>
      </c>
      <c r="I105" s="23">
        <v>530</v>
      </c>
      <c r="J105" s="23">
        <v>18</v>
      </c>
      <c r="K105" s="23">
        <v>2</v>
      </c>
      <c r="L105" s="23">
        <v>0</v>
      </c>
      <c r="M105" s="23">
        <v>16</v>
      </c>
      <c r="N105" s="23">
        <v>2</v>
      </c>
      <c r="O105" s="23">
        <v>0</v>
      </c>
      <c r="P105" s="23">
        <v>4</v>
      </c>
      <c r="Q105" s="23">
        <v>4</v>
      </c>
    </row>
    <row r="106" spans="1:17" x14ac:dyDescent="0.25">
      <c r="A106" s="18" t="s">
        <v>105</v>
      </c>
      <c r="B106" s="22">
        <v>120</v>
      </c>
      <c r="C106" s="22">
        <v>140</v>
      </c>
      <c r="D106" s="22">
        <v>10</v>
      </c>
      <c r="E106" s="22">
        <v>1</v>
      </c>
      <c r="F106" s="22">
        <v>0</v>
      </c>
      <c r="G106" s="22">
        <v>0</v>
      </c>
      <c r="H106" s="22">
        <v>35</v>
      </c>
      <c r="I106" s="22">
        <v>530</v>
      </c>
      <c r="J106" s="22">
        <v>18</v>
      </c>
      <c r="K106" s="22">
        <v>2</v>
      </c>
      <c r="L106" s="22">
        <v>0</v>
      </c>
      <c r="M106" s="22">
        <v>16</v>
      </c>
      <c r="N106" s="22">
        <v>2</v>
      </c>
      <c r="O106" s="22">
        <v>0</v>
      </c>
      <c r="P106" s="22">
        <v>4</v>
      </c>
      <c r="Q106" s="22">
        <v>4</v>
      </c>
    </row>
    <row r="107" spans="1:17" ht="20.399999999999999" x14ac:dyDescent="0.35">
      <c r="A107" s="9" t="s">
        <v>26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3"/>
    </row>
    <row r="108" spans="1:17" x14ac:dyDescent="0.25">
      <c r="A108" s="16" t="s">
        <v>77</v>
      </c>
      <c r="B108" s="17">
        <f>B4</f>
        <v>75</v>
      </c>
      <c r="C108" s="17">
        <f t="shared" ref="C108:Q108" si="34">C4</f>
        <v>210</v>
      </c>
      <c r="D108" s="17">
        <f t="shared" si="34"/>
        <v>170</v>
      </c>
      <c r="E108" s="17">
        <f t="shared" si="34"/>
        <v>19</v>
      </c>
      <c r="F108" s="17">
        <f t="shared" si="34"/>
        <v>8</v>
      </c>
      <c r="G108" s="17">
        <f t="shared" si="34"/>
        <v>0.5</v>
      </c>
      <c r="H108" s="17">
        <f t="shared" si="34"/>
        <v>40</v>
      </c>
      <c r="I108" s="17">
        <f t="shared" si="34"/>
        <v>690</v>
      </c>
      <c r="J108" s="17">
        <f t="shared" si="34"/>
        <v>0</v>
      </c>
      <c r="K108" s="17">
        <f t="shared" si="34"/>
        <v>0</v>
      </c>
      <c r="L108" s="17">
        <f t="shared" si="34"/>
        <v>0</v>
      </c>
      <c r="M108" s="17">
        <f t="shared" si="34"/>
        <v>8</v>
      </c>
      <c r="N108" s="17">
        <f t="shared" si="34"/>
        <v>2</v>
      </c>
      <c r="O108" s="17">
        <f t="shared" si="34"/>
        <v>0</v>
      </c>
      <c r="P108" s="17">
        <f t="shared" si="34"/>
        <v>0</v>
      </c>
      <c r="Q108" s="17">
        <f t="shared" si="34"/>
        <v>8</v>
      </c>
    </row>
    <row r="109" spans="1:17" x14ac:dyDescent="0.25">
      <c r="A109" s="18" t="s">
        <v>76</v>
      </c>
      <c r="B109" s="17">
        <f>B66</f>
        <v>85</v>
      </c>
      <c r="C109" s="17">
        <f t="shared" ref="C109:Q109" si="35">C66</f>
        <v>94</v>
      </c>
      <c r="D109" s="17">
        <f t="shared" si="35"/>
        <v>9</v>
      </c>
      <c r="E109" s="17">
        <f t="shared" si="35"/>
        <v>1</v>
      </c>
      <c r="F109" s="17">
        <f t="shared" si="35"/>
        <v>0</v>
      </c>
      <c r="G109" s="17">
        <f t="shared" si="35"/>
        <v>0</v>
      </c>
      <c r="H109" s="17">
        <f t="shared" si="35"/>
        <v>49</v>
      </c>
      <c r="I109" s="17">
        <f t="shared" si="35"/>
        <v>55</v>
      </c>
      <c r="J109" s="17">
        <f t="shared" si="35"/>
        <v>0</v>
      </c>
      <c r="K109" s="17">
        <f t="shared" si="35"/>
        <v>0</v>
      </c>
      <c r="L109" s="17">
        <f t="shared" si="35"/>
        <v>0</v>
      </c>
      <c r="M109" s="17">
        <f t="shared" si="35"/>
        <v>20</v>
      </c>
      <c r="N109" s="17">
        <f t="shared" si="35"/>
        <v>0</v>
      </c>
      <c r="O109" s="17">
        <f t="shared" si="35"/>
        <v>2</v>
      </c>
      <c r="P109" s="17">
        <f t="shared" si="35"/>
        <v>9</v>
      </c>
      <c r="Q109" s="17">
        <f t="shared" si="35"/>
        <v>3</v>
      </c>
    </row>
    <row r="110" spans="1:17" x14ac:dyDescent="0.25">
      <c r="A110" s="18" t="s">
        <v>78</v>
      </c>
      <c r="B110" s="17">
        <f t="shared" ref="B110:Q110" si="36">B96</f>
        <v>104</v>
      </c>
      <c r="C110" s="17">
        <f t="shared" si="36"/>
        <v>310</v>
      </c>
      <c r="D110" s="17">
        <f t="shared" si="36"/>
        <v>70</v>
      </c>
      <c r="E110" s="17">
        <f t="shared" si="36"/>
        <v>8</v>
      </c>
      <c r="F110" s="17">
        <f t="shared" si="36"/>
        <v>2.5</v>
      </c>
      <c r="G110" s="17">
        <f t="shared" si="36"/>
        <v>0</v>
      </c>
      <c r="H110" s="17">
        <f t="shared" si="36"/>
        <v>0</v>
      </c>
      <c r="I110" s="17">
        <f t="shared" si="36"/>
        <v>670</v>
      </c>
      <c r="J110" s="17">
        <f t="shared" si="36"/>
        <v>52</v>
      </c>
      <c r="K110" s="17">
        <f t="shared" si="36"/>
        <v>5</v>
      </c>
      <c r="L110" s="17">
        <f t="shared" si="36"/>
        <v>1</v>
      </c>
      <c r="M110" s="17">
        <f t="shared" si="36"/>
        <v>9</v>
      </c>
      <c r="N110" s="17">
        <f t="shared" si="36"/>
        <v>0</v>
      </c>
      <c r="O110" s="17">
        <f t="shared" si="36"/>
        <v>0</v>
      </c>
      <c r="P110" s="17">
        <f t="shared" si="36"/>
        <v>20</v>
      </c>
      <c r="Q110" s="17">
        <f t="shared" si="36"/>
        <v>0.2</v>
      </c>
    </row>
    <row r="111" spans="1:17" x14ac:dyDescent="0.25">
      <c r="A111" s="18" t="s">
        <v>79</v>
      </c>
      <c r="B111" s="23">
        <v>79</v>
      </c>
      <c r="C111" s="23">
        <v>230</v>
      </c>
      <c r="D111" s="23">
        <v>120</v>
      </c>
      <c r="E111" s="23">
        <v>13</v>
      </c>
      <c r="F111" s="23">
        <v>3.5</v>
      </c>
      <c r="G111" s="23">
        <v>0</v>
      </c>
      <c r="H111" s="23">
        <v>25</v>
      </c>
      <c r="I111" s="23">
        <v>540</v>
      </c>
      <c r="J111" s="23">
        <v>24</v>
      </c>
      <c r="K111" s="23">
        <v>0</v>
      </c>
      <c r="L111" s="23">
        <v>6</v>
      </c>
      <c r="M111" s="23">
        <v>5</v>
      </c>
      <c r="N111" s="23">
        <v>0</v>
      </c>
      <c r="O111" s="23">
        <v>0</v>
      </c>
      <c r="P111" s="23">
        <v>2</v>
      </c>
      <c r="Q111" s="23">
        <v>4</v>
      </c>
    </row>
    <row r="112" spans="1:17" ht="20.399999999999999" x14ac:dyDescent="0.35">
      <c r="A112" s="9" t="s">
        <v>38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</row>
    <row r="113" spans="1:17" x14ac:dyDescent="0.25">
      <c r="A113" s="16" t="s">
        <v>107</v>
      </c>
      <c r="B113" s="23">
        <v>120</v>
      </c>
      <c r="C113" s="23">
        <v>380</v>
      </c>
      <c r="D113" s="23">
        <v>190</v>
      </c>
      <c r="E113" s="23">
        <v>190</v>
      </c>
      <c r="F113" s="23">
        <v>11</v>
      </c>
      <c r="G113" s="23">
        <v>0</v>
      </c>
      <c r="H113" s="23">
        <v>85</v>
      </c>
      <c r="I113" s="23">
        <v>180</v>
      </c>
      <c r="J113" s="23">
        <v>38</v>
      </c>
      <c r="K113" s="23">
        <v>0</v>
      </c>
      <c r="L113" s="23">
        <v>12</v>
      </c>
      <c r="M113" s="23">
        <v>7</v>
      </c>
      <c r="N113" s="23">
        <v>10</v>
      </c>
      <c r="O113" s="23">
        <v>2</v>
      </c>
      <c r="P113" s="23">
        <v>10</v>
      </c>
      <c r="Q113" s="23">
        <v>8</v>
      </c>
    </row>
    <row r="114" spans="1:17" x14ac:dyDescent="0.25">
      <c r="A114" s="16" t="s">
        <v>172</v>
      </c>
      <c r="B114" s="23">
        <v>48</v>
      </c>
      <c r="C114" s="23">
        <v>440</v>
      </c>
      <c r="D114" s="23">
        <v>180</v>
      </c>
      <c r="E114" s="23">
        <v>21</v>
      </c>
      <c r="F114" s="23">
        <v>6</v>
      </c>
      <c r="G114" s="23">
        <v>0</v>
      </c>
      <c r="H114" s="23">
        <v>85</v>
      </c>
      <c r="I114" s="23">
        <v>240</v>
      </c>
      <c r="J114" s="23">
        <v>62</v>
      </c>
      <c r="K114" s="23">
        <v>2</v>
      </c>
      <c r="L114" s="23">
        <v>39</v>
      </c>
      <c r="M114" s="23">
        <v>4</v>
      </c>
      <c r="N114" s="23">
        <v>25</v>
      </c>
      <c r="O114" s="23">
        <v>0</v>
      </c>
      <c r="P114" s="23">
        <v>2</v>
      </c>
      <c r="Q114" s="23">
        <v>15</v>
      </c>
    </row>
    <row r="115" spans="1:17" ht="20.399999999999999" x14ac:dyDescent="0.35">
      <c r="A115" s="9" t="s">
        <v>75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3"/>
    </row>
    <row r="116" spans="1:17" x14ac:dyDescent="0.25">
      <c r="A116" s="18" t="s">
        <v>122</v>
      </c>
      <c r="B116" s="23">
        <v>8</v>
      </c>
      <c r="C116" s="23">
        <v>104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28</v>
      </c>
      <c r="K116" s="23">
        <v>0</v>
      </c>
      <c r="L116" s="23">
        <v>28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</row>
    <row r="117" spans="1:17" x14ac:dyDescent="0.25">
      <c r="A117" s="18" t="s">
        <v>123</v>
      </c>
      <c r="B117" s="23">
        <v>8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10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</row>
    <row r="118" spans="1:17" x14ac:dyDescent="0.25">
      <c r="A118" s="18" t="s">
        <v>124</v>
      </c>
      <c r="B118" s="23">
        <v>8</v>
      </c>
      <c r="C118" s="23">
        <v>104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28</v>
      </c>
      <c r="K118" s="23">
        <v>0</v>
      </c>
      <c r="L118" s="23">
        <v>28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</row>
    <row r="119" spans="1:17" x14ac:dyDescent="0.25">
      <c r="A119" s="18" t="s">
        <v>125</v>
      </c>
      <c r="B119" s="23">
        <v>8</v>
      </c>
      <c r="C119" s="23">
        <v>97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22</v>
      </c>
      <c r="J119" s="23">
        <v>26</v>
      </c>
      <c r="K119" s="23">
        <v>0</v>
      </c>
      <c r="L119" s="23">
        <v>26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</row>
    <row r="120" spans="1:17" x14ac:dyDescent="0.25">
      <c r="A120" s="18" t="s">
        <v>155</v>
      </c>
      <c r="B120" s="23">
        <v>8</v>
      </c>
      <c r="C120" s="23">
        <v>62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14</v>
      </c>
      <c r="J120" s="23">
        <v>17</v>
      </c>
      <c r="K120" s="23">
        <v>0</v>
      </c>
      <c r="L120" s="23">
        <v>17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</row>
    <row r="121" spans="1:17" x14ac:dyDescent="0.25">
      <c r="A121" s="18" t="s">
        <v>126</v>
      </c>
      <c r="B121" s="23">
        <v>8</v>
      </c>
      <c r="C121" s="23">
        <v>96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41</v>
      </c>
      <c r="J121" s="23">
        <v>24</v>
      </c>
      <c r="K121" s="23">
        <v>0</v>
      </c>
      <c r="L121" s="23">
        <v>24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</row>
    <row r="122" spans="1:17" ht="20.399999999999999" x14ac:dyDescent="0.35">
      <c r="A122" s="9" t="s">
        <v>29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3"/>
    </row>
    <row r="123" spans="1:17" x14ac:dyDescent="0.25">
      <c r="A123" s="16" t="s">
        <v>100</v>
      </c>
      <c r="B123" s="23">
        <v>100</v>
      </c>
      <c r="C123" s="23">
        <v>548</v>
      </c>
      <c r="D123" s="23">
        <v>389</v>
      </c>
      <c r="E123" s="23">
        <v>43.27</v>
      </c>
      <c r="F123" s="23">
        <v>14.18</v>
      </c>
      <c r="G123" s="23">
        <v>0</v>
      </c>
      <c r="H123" s="23">
        <v>107</v>
      </c>
      <c r="I123" s="23">
        <v>2193</v>
      </c>
      <c r="J123" s="23">
        <v>1.35</v>
      </c>
      <c r="K123" s="23">
        <v>0</v>
      </c>
      <c r="L123" s="23">
        <v>0</v>
      </c>
      <c r="M123" s="23">
        <v>35.700000000000003</v>
      </c>
      <c r="N123" s="23">
        <v>0.74</v>
      </c>
      <c r="O123" s="23">
        <v>0</v>
      </c>
      <c r="P123" s="23">
        <v>1</v>
      </c>
      <c r="Q123" s="23">
        <v>8.2799999999999994</v>
      </c>
    </row>
    <row r="124" spans="1:17" x14ac:dyDescent="0.25">
      <c r="A124" s="16" t="s">
        <v>87</v>
      </c>
      <c r="B124" s="23">
        <v>30</v>
      </c>
      <c r="C124" s="23">
        <v>15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215</v>
      </c>
      <c r="J124" s="23">
        <v>2</v>
      </c>
      <c r="K124" s="23">
        <v>1</v>
      </c>
      <c r="L124" s="23">
        <v>1</v>
      </c>
      <c r="M124" s="23">
        <v>0</v>
      </c>
      <c r="N124" s="23">
        <v>2</v>
      </c>
      <c r="O124" s="23">
        <v>6</v>
      </c>
      <c r="P124" s="23">
        <v>0</v>
      </c>
      <c r="Q124" s="23">
        <v>0</v>
      </c>
    </row>
    <row r="125" spans="1:17" x14ac:dyDescent="0.25">
      <c r="A125" s="16" t="s">
        <v>88</v>
      </c>
      <c r="B125" s="23">
        <v>30</v>
      </c>
      <c r="C125" s="23">
        <v>60</v>
      </c>
      <c r="D125" s="23">
        <v>50</v>
      </c>
      <c r="E125" s="23">
        <v>5</v>
      </c>
      <c r="F125" s="23">
        <v>3.5</v>
      </c>
      <c r="G125" s="23">
        <v>0</v>
      </c>
      <c r="H125" s="23">
        <v>15</v>
      </c>
      <c r="I125" s="23">
        <v>45</v>
      </c>
      <c r="J125" s="23">
        <v>2</v>
      </c>
      <c r="K125" s="23">
        <v>0</v>
      </c>
      <c r="L125" s="23">
        <v>1</v>
      </c>
      <c r="M125" s="23">
        <v>1</v>
      </c>
      <c r="N125" s="23">
        <v>4</v>
      </c>
      <c r="O125" s="23">
        <v>0</v>
      </c>
      <c r="P125" s="23">
        <v>4</v>
      </c>
      <c r="Q125" s="23">
        <v>0</v>
      </c>
    </row>
    <row r="126" spans="1:17" x14ac:dyDescent="0.25">
      <c r="A126" s="18" t="s">
        <v>145</v>
      </c>
      <c r="B126" s="23">
        <v>14</v>
      </c>
      <c r="C126" s="23">
        <v>100</v>
      </c>
      <c r="D126" s="23">
        <v>100</v>
      </c>
      <c r="E126" s="23">
        <v>12</v>
      </c>
      <c r="F126" s="23">
        <v>2</v>
      </c>
      <c r="G126" s="23">
        <v>0</v>
      </c>
      <c r="H126" s="23">
        <v>10</v>
      </c>
      <c r="I126" s="23">
        <v>90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</row>
    <row r="127" spans="1:17" x14ac:dyDescent="0.25">
      <c r="A127" s="18" t="s">
        <v>121</v>
      </c>
      <c r="B127" s="23">
        <v>57</v>
      </c>
      <c r="C127" s="23">
        <v>80</v>
      </c>
      <c r="D127" s="23">
        <v>50</v>
      </c>
      <c r="E127" s="23">
        <v>5</v>
      </c>
      <c r="F127" s="23">
        <v>1</v>
      </c>
      <c r="G127" s="23">
        <v>2</v>
      </c>
      <c r="H127" s="23">
        <v>0</v>
      </c>
      <c r="I127" s="23">
        <v>490</v>
      </c>
      <c r="J127" s="23">
        <v>7</v>
      </c>
      <c r="K127" s="23">
        <v>0</v>
      </c>
      <c r="L127" s="23">
        <v>2</v>
      </c>
      <c r="M127" s="23">
        <v>0</v>
      </c>
      <c r="N127" s="23">
        <v>0</v>
      </c>
      <c r="O127" s="23">
        <v>0</v>
      </c>
      <c r="P127" s="23">
        <v>6</v>
      </c>
      <c r="Q127" s="23">
        <v>0</v>
      </c>
    </row>
    <row r="128" spans="1:17" x14ac:dyDescent="0.25">
      <c r="A128" s="18" t="s">
        <v>104</v>
      </c>
      <c r="B128" s="23">
        <v>60</v>
      </c>
      <c r="C128" s="23">
        <v>45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750</v>
      </c>
      <c r="J128" s="23">
        <v>10</v>
      </c>
      <c r="K128" s="23">
        <v>1</v>
      </c>
      <c r="L128" s="23">
        <v>9</v>
      </c>
      <c r="M128" s="23">
        <v>1</v>
      </c>
      <c r="N128" s="23">
        <v>0</v>
      </c>
      <c r="O128" s="23">
        <v>10</v>
      </c>
      <c r="P128" s="23">
        <v>0</v>
      </c>
      <c r="Q128" s="23">
        <v>2</v>
      </c>
    </row>
    <row r="129" spans="1:17" x14ac:dyDescent="0.25">
      <c r="A129" s="18" t="s">
        <v>102</v>
      </c>
      <c r="B129" s="23">
        <v>30</v>
      </c>
      <c r="C129" s="23">
        <v>110</v>
      </c>
      <c r="D129" s="23">
        <v>40</v>
      </c>
      <c r="E129" s="23">
        <v>4.5</v>
      </c>
      <c r="F129" s="23">
        <v>0.5</v>
      </c>
      <c r="G129" s="23">
        <v>0</v>
      </c>
      <c r="H129" s="23">
        <v>0</v>
      </c>
      <c r="I129" s="23">
        <v>700</v>
      </c>
      <c r="J129" s="23">
        <v>14</v>
      </c>
      <c r="K129" s="23">
        <v>1</v>
      </c>
      <c r="L129" s="23">
        <v>11</v>
      </c>
      <c r="M129" s="23">
        <v>2</v>
      </c>
      <c r="N129" s="23">
        <v>15</v>
      </c>
      <c r="O129" s="23">
        <v>10</v>
      </c>
      <c r="P129" s="23">
        <v>4</v>
      </c>
      <c r="Q129" s="23">
        <v>4</v>
      </c>
    </row>
    <row r="130" spans="1:17" x14ac:dyDescent="0.25">
      <c r="A130" s="18" t="s">
        <v>91</v>
      </c>
      <c r="B130" s="23">
        <v>30</v>
      </c>
      <c r="C130" s="23">
        <v>150</v>
      </c>
      <c r="D130" s="23">
        <v>140</v>
      </c>
      <c r="E130" s="23">
        <v>16</v>
      </c>
      <c r="F130" s="23">
        <v>2</v>
      </c>
      <c r="G130" s="23">
        <v>0</v>
      </c>
      <c r="H130" s="23">
        <v>10</v>
      </c>
      <c r="I130" s="23">
        <v>270</v>
      </c>
      <c r="J130" s="23">
        <v>1</v>
      </c>
      <c r="K130" s="23">
        <v>0</v>
      </c>
      <c r="L130" s="23">
        <v>1</v>
      </c>
      <c r="M130" s="23">
        <v>1</v>
      </c>
      <c r="N130" s="23">
        <v>2</v>
      </c>
      <c r="O130" s="23">
        <v>0</v>
      </c>
      <c r="P130" s="23">
        <v>0</v>
      </c>
      <c r="Q130" s="23">
        <v>0</v>
      </c>
    </row>
    <row r="131" spans="1:17" x14ac:dyDescent="0.25">
      <c r="A131" s="18" t="s">
        <v>92</v>
      </c>
      <c r="B131" s="23">
        <v>30</v>
      </c>
      <c r="C131" s="23">
        <v>160</v>
      </c>
      <c r="D131" s="23">
        <v>140</v>
      </c>
      <c r="E131" s="23">
        <v>16</v>
      </c>
      <c r="F131" s="23">
        <v>2.5</v>
      </c>
      <c r="G131" s="23">
        <v>0</v>
      </c>
      <c r="H131" s="23">
        <v>5</v>
      </c>
      <c r="I131" s="23">
        <v>330</v>
      </c>
      <c r="J131" s="23">
        <v>2</v>
      </c>
      <c r="K131" s="23">
        <v>0</v>
      </c>
      <c r="L131" s="23">
        <v>1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</row>
    <row r="132" spans="1:17" x14ac:dyDescent="0.25">
      <c r="A132" s="18" t="s">
        <v>93</v>
      </c>
      <c r="B132" s="23">
        <v>42.5</v>
      </c>
      <c r="C132" s="23">
        <v>120</v>
      </c>
      <c r="D132" s="23">
        <v>100</v>
      </c>
      <c r="E132" s="23">
        <v>11</v>
      </c>
      <c r="F132" s="23">
        <v>1.5</v>
      </c>
      <c r="G132" s="23">
        <v>0</v>
      </c>
      <c r="H132" s="23">
        <v>0</v>
      </c>
      <c r="I132" s="23">
        <v>430</v>
      </c>
      <c r="J132" s="23">
        <v>5</v>
      </c>
      <c r="K132" s="23">
        <v>0</v>
      </c>
      <c r="L132" s="23">
        <v>4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</row>
    <row r="133" spans="1:17" x14ac:dyDescent="0.25">
      <c r="A133" s="18" t="s">
        <v>94</v>
      </c>
      <c r="B133" s="23">
        <v>43</v>
      </c>
      <c r="C133" s="23">
        <v>210</v>
      </c>
      <c r="D133" s="23">
        <v>200</v>
      </c>
      <c r="E133" s="23">
        <v>23</v>
      </c>
      <c r="F133" s="23">
        <v>3.5</v>
      </c>
      <c r="G133" s="23">
        <v>0</v>
      </c>
      <c r="H133" s="23">
        <v>0</v>
      </c>
      <c r="I133" s="23">
        <v>420</v>
      </c>
      <c r="J133" s="23">
        <v>2</v>
      </c>
      <c r="K133" s="23">
        <v>0</v>
      </c>
      <c r="L133" s="23">
        <v>2</v>
      </c>
      <c r="M133" s="23">
        <v>1</v>
      </c>
      <c r="N133" s="23">
        <v>2</v>
      </c>
      <c r="O133" s="23">
        <v>0</v>
      </c>
      <c r="P133" s="23">
        <v>2</v>
      </c>
      <c r="Q133" s="23">
        <v>0</v>
      </c>
    </row>
    <row r="134" spans="1:17" x14ac:dyDescent="0.25">
      <c r="A134" s="18" t="s">
        <v>95</v>
      </c>
      <c r="B134" s="23">
        <v>43</v>
      </c>
      <c r="C134" s="23">
        <v>190</v>
      </c>
      <c r="D134" s="23">
        <v>170</v>
      </c>
      <c r="E134" s="23">
        <v>18</v>
      </c>
      <c r="F134" s="23">
        <v>3</v>
      </c>
      <c r="G134" s="23">
        <v>0</v>
      </c>
      <c r="H134" s="23">
        <v>20</v>
      </c>
      <c r="I134" s="23">
        <v>370</v>
      </c>
      <c r="J134" s="23">
        <v>6</v>
      </c>
      <c r="K134" s="23">
        <v>0</v>
      </c>
      <c r="L134" s="23">
        <v>4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</row>
    <row r="135" spans="1:17" ht="20.399999999999999" x14ac:dyDescent="0.35">
      <c r="A135" s="9" t="s">
        <v>28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3"/>
    </row>
    <row r="136" spans="1:17" x14ac:dyDescent="0.25">
      <c r="A136" s="16" t="s">
        <v>85</v>
      </c>
      <c r="B136" s="23">
        <v>28</v>
      </c>
      <c r="C136" s="23">
        <v>100</v>
      </c>
      <c r="D136" s="23">
        <v>80</v>
      </c>
      <c r="E136" s="23">
        <v>9</v>
      </c>
      <c r="F136" s="23">
        <v>5</v>
      </c>
      <c r="G136" s="23">
        <v>0</v>
      </c>
      <c r="H136" s="23">
        <v>25</v>
      </c>
      <c r="I136" s="23">
        <v>510</v>
      </c>
      <c r="J136" s="23">
        <v>1</v>
      </c>
      <c r="K136" s="23">
        <v>0</v>
      </c>
      <c r="L136" s="23">
        <v>0</v>
      </c>
      <c r="M136" s="23">
        <v>5</v>
      </c>
      <c r="N136" s="23">
        <v>6</v>
      </c>
      <c r="O136" s="23">
        <v>0</v>
      </c>
      <c r="P136" s="23">
        <v>15</v>
      </c>
      <c r="Q136" s="23">
        <v>0</v>
      </c>
    </row>
    <row r="137" spans="1:17" x14ac:dyDescent="0.25">
      <c r="A137" s="16" t="s">
        <v>146</v>
      </c>
      <c r="B137" s="23">
        <v>28</v>
      </c>
      <c r="C137" s="23">
        <v>80</v>
      </c>
      <c r="D137" s="23">
        <v>50</v>
      </c>
      <c r="E137" s="23">
        <v>6</v>
      </c>
      <c r="F137" s="23">
        <v>3.5</v>
      </c>
      <c r="G137" s="23">
        <v>0</v>
      </c>
      <c r="H137" s="23">
        <v>15</v>
      </c>
      <c r="I137" s="23">
        <v>210</v>
      </c>
      <c r="J137" s="23">
        <v>1</v>
      </c>
      <c r="K137" s="23">
        <v>1</v>
      </c>
      <c r="L137" s="23">
        <v>0</v>
      </c>
      <c r="M137" s="23">
        <v>7</v>
      </c>
      <c r="N137" s="23">
        <v>4</v>
      </c>
      <c r="O137" s="23">
        <v>0</v>
      </c>
      <c r="P137" s="23">
        <v>20</v>
      </c>
      <c r="Q137" s="23">
        <v>0</v>
      </c>
    </row>
    <row r="138" spans="1:17" x14ac:dyDescent="0.25">
      <c r="A138" s="16" t="s">
        <v>86</v>
      </c>
      <c r="B138" s="23">
        <v>28</v>
      </c>
      <c r="C138" s="23">
        <v>110</v>
      </c>
      <c r="D138" s="23">
        <v>80</v>
      </c>
      <c r="E138" s="23">
        <v>9</v>
      </c>
      <c r="F138" s="23">
        <v>5</v>
      </c>
      <c r="G138" s="23">
        <v>0</v>
      </c>
      <c r="H138" s="23">
        <v>30</v>
      </c>
      <c r="I138" s="23">
        <v>170</v>
      </c>
      <c r="J138" s="23">
        <v>1</v>
      </c>
      <c r="K138" s="23">
        <v>0</v>
      </c>
      <c r="L138" s="23">
        <v>0</v>
      </c>
      <c r="M138" s="23">
        <v>7</v>
      </c>
      <c r="N138" s="23">
        <v>6</v>
      </c>
      <c r="O138" s="23">
        <v>0</v>
      </c>
      <c r="P138" s="23">
        <v>20</v>
      </c>
      <c r="Q138" s="23">
        <v>0</v>
      </c>
    </row>
    <row r="139" spans="1:17" x14ac:dyDescent="0.25">
      <c r="A139" s="16" t="s">
        <v>99</v>
      </c>
      <c r="B139" s="23">
        <v>5</v>
      </c>
      <c r="C139" s="23">
        <v>20</v>
      </c>
      <c r="D139" s="23">
        <v>15</v>
      </c>
      <c r="E139" s="23">
        <v>1.5</v>
      </c>
      <c r="F139" s="23">
        <v>1</v>
      </c>
      <c r="G139" s="23">
        <v>0</v>
      </c>
      <c r="H139" s="23">
        <v>5</v>
      </c>
      <c r="I139" s="23">
        <v>85</v>
      </c>
      <c r="J139" s="23">
        <v>0</v>
      </c>
      <c r="K139" s="23">
        <v>0</v>
      </c>
      <c r="L139" s="23">
        <v>0</v>
      </c>
      <c r="M139" s="23">
        <v>2</v>
      </c>
      <c r="N139" s="23">
        <v>0</v>
      </c>
      <c r="O139" s="23">
        <v>0</v>
      </c>
      <c r="P139" s="23">
        <v>6</v>
      </c>
      <c r="Q139" s="23">
        <v>0</v>
      </c>
    </row>
    <row r="140" spans="1:17" ht="20.399999999999999" x14ac:dyDescent="0.35">
      <c r="A140" s="9" t="s">
        <v>30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3"/>
    </row>
    <row r="141" spans="1:17" x14ac:dyDescent="0.25">
      <c r="A141" s="18" t="s">
        <v>96</v>
      </c>
      <c r="B141" s="23">
        <v>89</v>
      </c>
      <c r="C141" s="23">
        <v>10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10</v>
      </c>
      <c r="J141" s="23">
        <v>2</v>
      </c>
      <c r="K141" s="23">
        <v>1</v>
      </c>
      <c r="L141" s="23">
        <v>2</v>
      </c>
      <c r="M141" s="23">
        <v>1</v>
      </c>
      <c r="N141" s="23">
        <v>6</v>
      </c>
      <c r="O141" s="23">
        <v>6</v>
      </c>
      <c r="P141" s="23">
        <v>2</v>
      </c>
      <c r="Q141" s="23">
        <v>2</v>
      </c>
    </row>
    <row r="142" spans="1:17" x14ac:dyDescent="0.25">
      <c r="A142" s="18" t="s">
        <v>97</v>
      </c>
      <c r="B142" s="23">
        <v>148</v>
      </c>
      <c r="C142" s="23">
        <v>25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20</v>
      </c>
      <c r="J142" s="23">
        <v>5</v>
      </c>
      <c r="K142" s="23">
        <v>1</v>
      </c>
      <c r="L142" s="23">
        <v>3</v>
      </c>
      <c r="M142" s="23">
        <v>1</v>
      </c>
      <c r="N142" s="23">
        <v>20</v>
      </c>
      <c r="O142" s="23">
        <v>40</v>
      </c>
      <c r="P142" s="23">
        <v>2</v>
      </c>
      <c r="Q142" s="23">
        <v>4</v>
      </c>
    </row>
    <row r="143" spans="1:17" x14ac:dyDescent="0.25">
      <c r="A143" s="18" t="s">
        <v>103</v>
      </c>
      <c r="B143" s="23">
        <v>100</v>
      </c>
      <c r="C143" s="23">
        <v>40</v>
      </c>
      <c r="D143" s="23">
        <v>1</v>
      </c>
      <c r="E143" s="23">
        <v>0.1</v>
      </c>
      <c r="F143" s="23">
        <v>0.04</v>
      </c>
      <c r="G143" s="23">
        <v>0</v>
      </c>
      <c r="H143" s="23">
        <v>0</v>
      </c>
      <c r="I143" s="23">
        <v>4</v>
      </c>
      <c r="J143" s="23">
        <v>9.34</v>
      </c>
      <c r="K143" s="23">
        <v>1.7</v>
      </c>
      <c r="L143" s="23">
        <v>4.24</v>
      </c>
      <c r="M143" s="23">
        <v>1.1000000000000001</v>
      </c>
      <c r="N143" s="23">
        <v>0.04</v>
      </c>
      <c r="O143" s="23">
        <v>12.33</v>
      </c>
      <c r="P143" s="23">
        <v>2.2999999999999998</v>
      </c>
      <c r="Q143" s="23">
        <v>1.17</v>
      </c>
    </row>
    <row r="144" spans="1:17" x14ac:dyDescent="0.25">
      <c r="A144" s="18" t="s">
        <v>168</v>
      </c>
      <c r="B144" s="23">
        <v>90</v>
      </c>
      <c r="C144" s="23">
        <v>80</v>
      </c>
      <c r="D144" s="23">
        <v>10</v>
      </c>
      <c r="E144" s="23">
        <v>1</v>
      </c>
      <c r="F144" s="23">
        <v>0</v>
      </c>
      <c r="G144" s="23">
        <v>0</v>
      </c>
      <c r="H144" s="23">
        <v>0</v>
      </c>
      <c r="I144" s="23">
        <v>10</v>
      </c>
      <c r="J144" s="23">
        <v>19</v>
      </c>
      <c r="K144" s="23">
        <v>1</v>
      </c>
      <c r="L144" s="23">
        <v>5</v>
      </c>
      <c r="M144" s="23">
        <v>3</v>
      </c>
      <c r="N144" s="23">
        <v>0</v>
      </c>
      <c r="O144" s="23">
        <v>4</v>
      </c>
      <c r="P144" s="23">
        <v>0</v>
      </c>
      <c r="Q144" s="23">
        <v>0</v>
      </c>
    </row>
    <row r="145" spans="1:17" x14ac:dyDescent="0.25">
      <c r="A145" s="18" t="s">
        <v>167</v>
      </c>
      <c r="B145" s="23">
        <v>130</v>
      </c>
      <c r="C145" s="23">
        <v>120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430</v>
      </c>
      <c r="J145" s="23">
        <v>21</v>
      </c>
      <c r="K145" s="23">
        <v>6</v>
      </c>
      <c r="L145" s="23">
        <v>0</v>
      </c>
      <c r="M145" s="23">
        <v>8</v>
      </c>
      <c r="N145" s="23">
        <v>0</v>
      </c>
      <c r="O145" s="23">
        <v>0</v>
      </c>
      <c r="P145" s="23">
        <v>4</v>
      </c>
      <c r="Q145" s="23">
        <v>30</v>
      </c>
    </row>
    <row r="146" spans="1:17" x14ac:dyDescent="0.25">
      <c r="A146" s="18" t="s">
        <v>98</v>
      </c>
      <c r="B146" s="23">
        <v>99</v>
      </c>
      <c r="C146" s="23">
        <v>10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2</v>
      </c>
      <c r="K146" s="23">
        <v>1</v>
      </c>
      <c r="L146" s="23">
        <v>1</v>
      </c>
      <c r="M146" s="23">
        <v>1</v>
      </c>
      <c r="N146" s="23">
        <v>4</v>
      </c>
      <c r="O146" s="23">
        <v>10</v>
      </c>
      <c r="P146" s="23">
        <v>2</v>
      </c>
      <c r="Q146" s="23">
        <v>2</v>
      </c>
    </row>
    <row r="147" spans="1:17" x14ac:dyDescent="0.25">
      <c r="A147" s="18" t="s">
        <v>90</v>
      </c>
      <c r="B147" s="23">
        <v>28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320</v>
      </c>
      <c r="J147" s="23">
        <v>1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</row>
    <row r="148" spans="1:17" x14ac:dyDescent="0.25">
      <c r="A148" s="18" t="s">
        <v>89</v>
      </c>
      <c r="B148" s="23">
        <v>30</v>
      </c>
      <c r="C148" s="23">
        <v>5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510</v>
      </c>
      <c r="J148" s="23">
        <v>1</v>
      </c>
      <c r="K148" s="23">
        <v>1</v>
      </c>
      <c r="L148" s="23">
        <v>0</v>
      </c>
      <c r="M148" s="23">
        <v>0</v>
      </c>
      <c r="N148" s="23">
        <v>6</v>
      </c>
      <c r="O148" s="23">
        <v>4</v>
      </c>
      <c r="P148" s="23">
        <v>6</v>
      </c>
      <c r="Q148" s="23">
        <v>4</v>
      </c>
    </row>
    <row r="149" spans="1:17" x14ac:dyDescent="0.25">
      <c r="A149" s="21" t="s">
        <v>101</v>
      </c>
      <c r="B149" s="23">
        <v>110</v>
      </c>
      <c r="C149" s="23">
        <v>15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115</v>
      </c>
      <c r="J149" s="23">
        <v>4</v>
      </c>
      <c r="K149" s="23">
        <v>2</v>
      </c>
      <c r="L149" s="23">
        <v>2</v>
      </c>
      <c r="M149" s="23">
        <v>0</v>
      </c>
      <c r="N149" s="23">
        <v>10</v>
      </c>
      <c r="O149" s="23">
        <v>15</v>
      </c>
      <c r="P149" s="23">
        <v>4</v>
      </c>
      <c r="Q149" s="23">
        <v>2</v>
      </c>
    </row>
    <row r="151" spans="1:17" x14ac:dyDescent="0.25">
      <c r="A151" s="16" t="s">
        <v>157</v>
      </c>
      <c r="B151" s="23">
        <v>100</v>
      </c>
      <c r="C151" s="23">
        <v>316</v>
      </c>
      <c r="D151" s="23">
        <v>10.5</v>
      </c>
      <c r="E151" s="23">
        <v>1</v>
      </c>
      <c r="F151" s="23">
        <v>0</v>
      </c>
      <c r="G151" s="23">
        <v>0</v>
      </c>
      <c r="H151" s="23">
        <v>0</v>
      </c>
      <c r="I151" s="23">
        <v>2921</v>
      </c>
      <c r="J151" s="23">
        <v>70</v>
      </c>
      <c r="K151" s="23">
        <v>2</v>
      </c>
      <c r="L151" s="23">
        <v>0</v>
      </c>
      <c r="M151" s="23">
        <v>9</v>
      </c>
      <c r="N151" s="23">
        <v>15</v>
      </c>
      <c r="O151" s="23">
        <v>0</v>
      </c>
      <c r="P151" s="23">
        <v>67</v>
      </c>
      <c r="Q151" s="23">
        <v>2</v>
      </c>
    </row>
    <row r="152" spans="1:17" x14ac:dyDescent="0.25">
      <c r="A152" s="16" t="s">
        <v>174</v>
      </c>
      <c r="B152" s="23">
        <v>81</v>
      </c>
      <c r="C152" s="23">
        <v>200</v>
      </c>
      <c r="D152" s="23">
        <v>120</v>
      </c>
      <c r="E152" s="23">
        <v>13</v>
      </c>
      <c r="F152" s="23">
        <v>8</v>
      </c>
      <c r="G152" s="23">
        <v>0</v>
      </c>
      <c r="H152" s="23">
        <v>60</v>
      </c>
      <c r="I152" s="23">
        <v>45</v>
      </c>
      <c r="J152" s="23">
        <v>18</v>
      </c>
      <c r="K152" s="23">
        <v>0</v>
      </c>
      <c r="L152" s="23">
        <v>18</v>
      </c>
      <c r="M152" s="23">
        <v>3</v>
      </c>
      <c r="N152" s="23">
        <v>10</v>
      </c>
      <c r="O152" s="23">
        <v>0</v>
      </c>
      <c r="P152" s="23">
        <v>10</v>
      </c>
      <c r="Q152" s="23">
        <v>0</v>
      </c>
    </row>
    <row r="154" spans="1:17" x14ac:dyDescent="0.25">
      <c r="A154" s="14" t="s">
        <v>32</v>
      </c>
    </row>
    <row r="155" spans="1:17" x14ac:dyDescent="0.25">
      <c r="A155" s="14" t="s">
        <v>147</v>
      </c>
    </row>
    <row r="156" spans="1:17" x14ac:dyDescent="0.25">
      <c r="A156" s="14" t="s">
        <v>31</v>
      </c>
    </row>
    <row r="157" spans="1:17" x14ac:dyDescent="0.25">
      <c r="A157" s="14" t="s">
        <v>33</v>
      </c>
    </row>
    <row r="158" spans="1:17" x14ac:dyDescent="0.25">
      <c r="A158" s="7" t="s">
        <v>142</v>
      </c>
    </row>
    <row r="159" spans="1:17" x14ac:dyDescent="0.25">
      <c r="A159" s="14" t="s">
        <v>133</v>
      </c>
    </row>
    <row r="160" spans="1:17" x14ac:dyDescent="0.25">
      <c r="A160" s="14" t="s">
        <v>34</v>
      </c>
    </row>
    <row r="161" spans="1:1" x14ac:dyDescent="0.25">
      <c r="A161" s="14" t="s">
        <v>35</v>
      </c>
    </row>
  </sheetData>
  <sheetProtection insertColumns="0" insertRows="0" insertHyperlinks="0" deleteColumns="0" deleteRows="0"/>
  <phoneticPr fontId="3" type="noConversion"/>
  <pageMargins left="0.25" right="0.2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WTG Serving Size</vt:lpstr>
      <vt:lpstr>Label Serving Size</vt:lpstr>
      <vt:lpstr>'WTG Serving Size'!Print_Titles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Ruger</dc:creator>
  <cp:lastModifiedBy>John Brinton</cp:lastModifiedBy>
  <cp:lastPrinted>2014-04-16T17:30:26Z</cp:lastPrinted>
  <dcterms:created xsi:type="dcterms:W3CDTF">2011-04-03T23:20:10Z</dcterms:created>
  <dcterms:modified xsi:type="dcterms:W3CDTF">2021-11-05T21:04:39Z</dcterms:modified>
</cp:coreProperties>
</file>